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2.png" ContentType="image/png"/>
  <Override PartName="/xl/media/image71.png" ContentType="image/png"/>
  <Override PartName="/xl/media/image70.png" ContentType="image/png"/>
  <Override PartName="/xl/media/image68.png" ContentType="image/png"/>
  <Override PartName="/xl/media/image67.png" ContentType="image/png"/>
  <Override PartName="/xl/media/image66.png" ContentType="image/png"/>
  <Override PartName="/xl/media/image65.png" ContentType="image/png"/>
  <Override PartName="/xl/media/image64.png" ContentType="image/png"/>
  <Override PartName="/xl/media/image63.png" ContentType="image/png"/>
  <Override PartName="/xl/media/image62.png" ContentType="image/png"/>
  <Override PartName="/xl/media/image61.png" ContentType="image/png"/>
  <Override PartName="/xl/media/image60.png" ContentType="image/png"/>
  <Override PartName="/xl/media/image50.png" ContentType="image/png"/>
  <Override PartName="/xl/media/image49.png" ContentType="image/png"/>
  <Override PartName="/xl/media/image48.png" ContentType="image/png"/>
  <Override PartName="/xl/media/image47.png" ContentType="image/png"/>
  <Override PartName="/xl/media/image20.png" ContentType="image/png"/>
  <Override PartName="/xl/media/image55.png" ContentType="image/png"/>
  <Override PartName="/xl/media/image5.png" ContentType="image/png"/>
  <Override PartName="/xl/media/image19.png" ContentType="image/png"/>
  <Override PartName="/xl/media/image18.png" ContentType="image/png"/>
  <Override PartName="/xl/media/image17.png" ContentType="image/png"/>
  <Override PartName="/xl/media/image16.png" ContentType="image/png"/>
  <Override PartName="/xl/media/image15.png" ContentType="image/png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54.png" ContentType="image/png"/>
  <Override PartName="/xl/media/image4.png" ContentType="image/png"/>
  <Override PartName="/xl/media/image39.png" ContentType="image/png"/>
  <Override PartName="/xl/media/image53.png" ContentType="image/png"/>
  <Override PartName="/xl/media/image3.png" ContentType="image/png"/>
  <Override PartName="/xl/media/image38.png" ContentType="image/png"/>
  <Override PartName="/xl/media/image22.png" ContentType="image/png"/>
  <Override PartName="/xl/media/image57.png" ContentType="image/png"/>
  <Override PartName="/xl/media/image7.png" ContentType="image/png"/>
  <Override PartName="/xl/media/image52.png" ContentType="image/png"/>
  <Override PartName="/xl/media/image2.png" ContentType="image/png"/>
  <Override PartName="/xl/media/image37.png" ContentType="image/png"/>
  <Override PartName="/xl/media/image21.png" ContentType="image/png"/>
  <Override PartName="/xl/media/image56.png" ContentType="image/png"/>
  <Override PartName="/xl/media/image6.png" ContentType="image/png"/>
  <Override PartName="/xl/media/image51.png" ContentType="image/png"/>
  <Override PartName="/xl/media/image1.png" ContentType="image/png"/>
  <Override PartName="/xl/media/image36.png" ContentType="image/png"/>
  <Override PartName="/xl/media/image58.png" ContentType="image/png"/>
  <Override PartName="/xl/media/image8.png" ContentType="image/png"/>
  <Override PartName="/xl/media/image23.png" ContentType="image/png"/>
  <Override PartName="/xl/media/image69.png" ContentType="image/png"/>
  <Override PartName="/xl/media/image10.png" ContentType="image/png"/>
  <Override PartName="/xl/media/image59.png" ContentType="image/png"/>
  <Override PartName="/xl/media/image9.png" ContentType="image/png"/>
  <Override PartName="/xl/media/image24.png" ContentType="image/png"/>
  <Override PartName="/xl/media/image25.png" ContentType="image/png"/>
  <Override PartName="/xl/media/image26.png" ContentType="image/png"/>
  <Override PartName="/xl/media/image27.png" ContentType="image/png"/>
  <Override PartName="/xl/media/image28.png" ContentType="image/png"/>
  <Override PartName="/xl/media/image29.png" ContentType="image/png"/>
  <Override PartName="/xl/media/image30.png" ContentType="image/png"/>
  <Override PartName="/xl/media/image31.png" ContentType="image/png"/>
  <Override PartName="/xl/media/image32.png" ContentType="image/png"/>
  <Override PartName="/xl/media/image33.png" ContentType="image/png"/>
  <Override PartName="/xl/media/image34.png" ContentType="image/png"/>
  <Override PartName="/xl/media/image35.png" ContentType="image/png"/>
  <Override PartName="/xl/media/image40.png" ContentType="image/png"/>
  <Override PartName="/xl/media/image41.png" ContentType="image/png"/>
  <Override PartName="/xl/media/image42.png" ContentType="image/png"/>
  <Override PartName="/xl/media/image43.png" ContentType="image/png"/>
  <Override PartName="/xl/media/image44.png" ContentType="image/png"/>
  <Override PartName="/xl/media/image45.png" ContentType="image/png"/>
  <Override PartName="/xl/media/image4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1" activeTab="3"/>
  </bookViews>
  <sheets>
    <sheet name="T" sheetId="1" state="hidden" r:id="rId2"/>
    <sheet name="Settings" sheetId="2" state="visible" r:id="rId3"/>
    <sheet name="3rd Places" sheetId="3" state="visible" r:id="rId4"/>
    <sheet name="UEFA EURO 2016" sheetId="4" state="visible" r:id="rId5"/>
  </sheets>
  <definedNames>
    <definedName function="false" hidden="false" localSheetId="3" name="_xlnm.Print_Area" vbProcedure="false">'UEFA EURO 2016'!$A$1:$BU$57</definedName>
    <definedName function="false" hidden="false" name="db_fifarank" vbProcedure="false">Settings!$B$15:$C$46</definedName>
    <definedName function="false" hidden="false" name="gmt_delta" vbProcedure="false">Settings!$G$14</definedName>
    <definedName function="false" hidden="false" name="itype" vbProcedure="false">Settings!$G$46</definedName>
    <definedName function="false" hidden="false" name="lang" vbProcedure="false">Settings!$G$13</definedName>
    <definedName function="false" hidden="false" name="lang_list" vbProcedure="false">T!$1:$1</definedName>
    <definedName function="false" hidden="false" name="lookup_3rd" vbProcedure="false">'UEFA EURO 2016'!$AA$50</definedName>
    <definedName function="false" hidden="false" name="T" vbProcedure="false">T!$1:$1048576</definedName>
    <definedName function="false" hidden="false" name="tbl_lookup_3rd" vbProcedure="false">'UEFA EURO 2016'!$AC$53:$AG$67</definedName>
    <definedName function="false" hidden="false" localSheetId="3" name="_xlnm.Print_Area" vbProcedure="false">'UEFA EURO 2016'!$A$1:$BU$57</definedName>
    <definedName function="false" hidden="false" localSheetId="3" name="_xlnm.Print_Area_0" vbProcedure="false">'UEFA EURO 2016'!$A$1:$BU$57</definedName>
    <definedName function="false" hidden="false" localSheetId="3" name="_xlnm.Print_Area_0_0" vbProcedure="false">'UEFA EURO 2016'!$A$1:$BU$57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<sst xmlns="http://schemas.openxmlformats.org/spreadsheetml/2006/main" count="4234" uniqueCount="2480">
  <si>
    <t xml:space="preserve">English</t>
  </si>
  <si>
    <t xml:space="preserve">Albanian</t>
  </si>
  <si>
    <t xml:space="preserve">Arabic</t>
  </si>
  <si>
    <t xml:space="preserve">Armenian</t>
  </si>
  <si>
    <t xml:space="preserve">Azerbaijan</t>
  </si>
  <si>
    <t xml:space="preserve">Bulgarian</t>
  </si>
  <si>
    <t xml:space="preserve">Català</t>
  </si>
  <si>
    <t xml:space="preserve">Chinese (Simplified)</t>
  </si>
  <si>
    <t xml:space="preserve">Chinese (Traditional)</t>
  </si>
  <si>
    <t xml:space="preserve">Croatian</t>
  </si>
  <si>
    <t xml:space="preserve">Czech</t>
  </si>
  <si>
    <t xml:space="preserve">Danish</t>
  </si>
  <si>
    <t xml:space="preserve">Dutch</t>
  </si>
  <si>
    <t xml:space="preserve">French</t>
  </si>
  <si>
    <t xml:space="preserve">Georgian</t>
  </si>
  <si>
    <t xml:space="preserve">German</t>
  </si>
  <si>
    <t xml:space="preserve">Greek</t>
  </si>
  <si>
    <t xml:space="preserve">Hebrew</t>
  </si>
  <si>
    <t xml:space="preserve">Hungarian</t>
  </si>
  <si>
    <t xml:space="preserve">Indonesia</t>
  </si>
  <si>
    <t xml:space="preserve">Icelandic</t>
  </si>
  <si>
    <t xml:space="preserve">Italian</t>
  </si>
  <si>
    <t xml:space="preserve">Korean</t>
  </si>
  <si>
    <t xml:space="preserve">Lithuanian</t>
  </si>
  <si>
    <t xml:space="preserve">Macedonian</t>
  </si>
  <si>
    <t xml:space="preserve">Maltese</t>
  </si>
  <si>
    <t xml:space="preserve">Norwegian</t>
  </si>
  <si>
    <t xml:space="preserve">Persian</t>
  </si>
  <si>
    <t xml:space="preserve">Polish</t>
  </si>
  <si>
    <t xml:space="preserve">Portuguese</t>
  </si>
  <si>
    <t xml:space="preserve">Romanian</t>
  </si>
  <si>
    <t xml:space="preserve">Russian</t>
  </si>
  <si>
    <t xml:space="preserve">Serbian</t>
  </si>
  <si>
    <t xml:space="preserve">Slovak</t>
  </si>
  <si>
    <t xml:space="preserve">Slovenian</t>
  </si>
  <si>
    <t xml:space="preserve">Spanish</t>
  </si>
  <si>
    <t xml:space="preserve">Swedish</t>
  </si>
  <si>
    <t xml:space="preserve">Thai</t>
  </si>
  <si>
    <t xml:space="preserve">Turkish</t>
  </si>
  <si>
    <t xml:space="preserve">Vietnamese</t>
  </si>
  <si>
    <t xml:space="preserve">Ukrainian</t>
  </si>
  <si>
    <t xml:space="preserve">Urdu</t>
  </si>
  <si>
    <t xml:space="preserve">UEFA EURO 2016 Tournament Schedule</t>
  </si>
  <si>
    <t xml:space="preserve">UEFA Euro 2016 Tournament Schedule</t>
  </si>
  <si>
    <t xml:space="preserve">كأس الأمم الأوروبية 2016 جدول البطولة</t>
  </si>
  <si>
    <t xml:space="preserve">UEFA EURO 2016-մրցաշար ժամանակացույց</t>
  </si>
  <si>
    <t xml:space="preserve">UEFA EURO 2016 Tournament cədvəli</t>
  </si>
  <si>
    <t xml:space="preserve">Европейско първенство по футбол 2016 График на турнира</t>
  </si>
  <si>
    <t xml:space="preserve">UEFA EURO 2016 calendari de tornejos</t>
  </si>
  <si>
    <r>
      <rPr>
        <sz val="10"/>
        <rFont val="Calibri"/>
        <family val="2"/>
        <charset val="204"/>
      </rPr>
      <t>2016</t>
    </r>
    <r>
      <rPr>
        <sz val="10"/>
        <rFont val="Noto Sans CJK SC Regular"/>
        <family val="2"/>
        <charset val="1"/>
      </rPr>
      <t>年欧洲足球锦标赛锦标赛时间表</t>
    </r>
  </si>
  <si>
    <r>
      <rPr>
        <sz val="10"/>
        <rFont val="Calibri"/>
        <family val="2"/>
        <charset val="204"/>
      </rPr>
      <t>2016</t>
    </r>
    <r>
      <rPr>
        <sz val="10"/>
        <rFont val="Noto Sans CJK SC Regular"/>
        <family val="2"/>
        <charset val="1"/>
      </rPr>
      <t>年歐洲足球錦標賽錦標賽時間表</t>
    </r>
  </si>
  <si>
    <t xml:space="preserve">UEFA EURO 2016 Raspored turnira</t>
  </si>
  <si>
    <t xml:space="preserve">UEFA EURO 2016 Plán turnajů</t>
  </si>
  <si>
    <t xml:space="preserve">UEFA EURO 2016 Toernooi schema</t>
  </si>
  <si>
    <t xml:space="preserve">UEFA EURO 2016 Calendrier des tournois</t>
  </si>
  <si>
    <t xml:space="preserve">UEFA EURO 2016 ტურნირი განრიგი</t>
  </si>
  <si>
    <t xml:space="preserve">UEFA EURO 2016 Turnierplan</t>
  </si>
  <si>
    <t xml:space="preserve">UEFA EURO 2016 Πρόγραμμα Τουρνουά</t>
  </si>
  <si>
    <t xml:space="preserve">EURO אופ"א לו"ז טורניר 2016</t>
  </si>
  <si>
    <t xml:space="preserve">UEFA EURO 2016 versenyek időbeosztása</t>
  </si>
  <si>
    <t xml:space="preserve">UEFA EURO 2016 Jadwal Turnamen</t>
  </si>
  <si>
    <t xml:space="preserve">UEFA EURO 2016 Tournament Dagskrá</t>
  </si>
  <si>
    <r>
      <rPr>
        <sz val="10"/>
        <rFont val="Calibri"/>
        <family val="2"/>
        <charset val="204"/>
      </rPr>
      <t>UEFA </t>
    </r>
    <r>
      <rPr>
        <sz val="10"/>
        <rFont val="Noto Sans CJK SC Regular"/>
        <family val="2"/>
        <charset val="1"/>
      </rPr>
      <t>유로​​ </t>
    </r>
    <r>
      <rPr>
        <sz val="10"/>
        <rFont val="Calibri"/>
        <family val="2"/>
        <charset val="204"/>
      </rPr>
      <t>2016 </t>
    </r>
    <r>
      <rPr>
        <sz val="10"/>
        <rFont val="Noto Sans CJK SC Regular"/>
        <family val="2"/>
        <charset val="1"/>
      </rPr>
      <t>토너먼트 일정</t>
    </r>
  </si>
  <si>
    <t xml:space="preserve">EURO 2016 turnyro tvarkaraštis</t>
  </si>
  <si>
    <t xml:space="preserve">УЕФА Евро 2016 Распоред турнир</t>
  </si>
  <si>
    <t xml:space="preserve">UEFA EURO 2016 Tournament Iskeda</t>
  </si>
  <si>
    <t xml:space="preserve">UEFA EURO 2016 Turneringsskjema</t>
  </si>
  <si>
    <t xml:space="preserve">UEFA EURO 2016 برنامه مسابقات</t>
  </si>
  <si>
    <t xml:space="preserve">UEFA EURO 2016 Harmonogram turnieju</t>
  </si>
  <si>
    <t xml:space="preserve">UEFA EURO 2016 Calendário de Torneios</t>
  </si>
  <si>
    <t xml:space="preserve">UEFA EURO 2016 Programul turneelor</t>
  </si>
  <si>
    <t xml:space="preserve">ЕВРО-2016 Расписание турниров</t>
  </si>
  <si>
    <t xml:space="preserve">ЕВРО 2016 Турнир Распоред</t>
  </si>
  <si>
    <t xml:space="preserve">UEFA EURO 2016 Plán turnajov</t>
  </si>
  <si>
    <t xml:space="preserve">UEFA EURO 2016 turnir Razpored</t>
  </si>
  <si>
    <t xml:space="preserve">UEFA EURO 2016 calendario de torneos</t>
  </si>
  <si>
    <t xml:space="preserve">UEFA EURO 2016 turneringsschemat</t>
  </si>
  <si>
    <t xml:space="preserve">ฟุตบอลชิงแชมป์แห่งชาติยุโรป 2016 ตารางการแข่งขัน</t>
  </si>
  <si>
    <t xml:space="preserve">2016 Avrupa Futbol Şampiyonası Turnuva Takvimi</t>
  </si>
  <si>
    <t xml:space="preserve">UEFA EURO 2016 Lịch trình giải đấu</t>
  </si>
  <si>
    <t xml:space="preserve">ЄВРО-2016 Розклад турнірів</t>
  </si>
  <si>
    <t xml:space="preserve">UEFA EURO 2016 ٹورنامنٹ کے شیڈول</t>
  </si>
  <si>
    <t xml:space="preserve">Group Stage</t>
  </si>
  <si>
    <t xml:space="preserve">Grupet</t>
  </si>
  <si>
    <t xml:space="preserve">الدور الأول</t>
  </si>
  <si>
    <t xml:space="preserve">Խմբային փուլ</t>
  </si>
  <si>
    <t xml:space="preserve">Qrup Mərhələsi</t>
  </si>
  <si>
    <t xml:space="preserve">Групова фаза</t>
  </si>
  <si>
    <t xml:space="preserve">Fase de grups</t>
  </si>
  <si>
    <t xml:space="preserve">小组赛阶段</t>
  </si>
  <si>
    <t xml:space="preserve">分組賽</t>
  </si>
  <si>
    <t xml:space="preserve">Prvi krug</t>
  </si>
  <si>
    <t xml:space="preserve">Základní skupiny</t>
  </si>
  <si>
    <t xml:space="preserve">Gruppespil</t>
  </si>
  <si>
    <t xml:space="preserve">Groepsfase</t>
  </si>
  <si>
    <t xml:space="preserve">Phase de groupes</t>
  </si>
  <si>
    <t xml:space="preserve">ჯგუფური ეტაპი</t>
  </si>
  <si>
    <t xml:space="preserve">Gruppenphase</t>
  </si>
  <si>
    <t xml:space="preserve">Φάση Ομίλων</t>
  </si>
  <si>
    <t xml:space="preserve">שלב הבתים</t>
  </si>
  <si>
    <t xml:space="preserve">Csoportkörök</t>
  </si>
  <si>
    <t xml:space="preserve">Babak Kualifikasi</t>
  </si>
  <si>
    <t xml:space="preserve">Riðlakeppnin</t>
  </si>
  <si>
    <t xml:space="preserve">Fase a gironi</t>
  </si>
  <si>
    <t xml:space="preserve">조별 리그</t>
  </si>
  <si>
    <t xml:space="preserve">Grupės Etapas</t>
  </si>
  <si>
    <t xml:space="preserve">Фаза по групи</t>
  </si>
  <si>
    <t xml:space="preserve">Fażi tal-Gruppi</t>
  </si>
  <si>
    <t xml:space="preserve">Gruppespill</t>
  </si>
  <si>
    <t xml:space="preserve">مرحله گروهی</t>
  </si>
  <si>
    <t xml:space="preserve">Faza Grupowa</t>
  </si>
  <si>
    <t xml:space="preserve">Fase de grupos</t>
  </si>
  <si>
    <t xml:space="preserve">Faza Grupelor</t>
  </si>
  <si>
    <t xml:space="preserve">Групповой Раунд</t>
  </si>
  <si>
    <t xml:space="preserve">Grupno takmičenje</t>
  </si>
  <si>
    <t xml:space="preserve">Skupinová fáza</t>
  </si>
  <si>
    <t xml:space="preserve">Skupinski del</t>
  </si>
  <si>
    <t xml:space="preserve">Gruppspel</t>
  </si>
  <si>
    <t xml:space="preserve">รอบแรก</t>
  </si>
  <si>
    <t xml:space="preserve">Grup Aşaması</t>
  </si>
  <si>
    <t xml:space="preserve">Vòng Bảng</t>
  </si>
  <si>
    <t xml:space="preserve">Груповий етап</t>
  </si>
  <si>
    <t xml:space="preserve">گروپ بندی</t>
  </si>
  <si>
    <t xml:space="preserve">Round of 16</t>
  </si>
  <si>
    <t xml:space="preserve">Rundi I 16</t>
  </si>
  <si>
    <t xml:space="preserve">دور الستة عشر</t>
  </si>
  <si>
    <t xml:space="preserve">1/8 Եզրափակիչ</t>
  </si>
  <si>
    <t xml:space="preserve">16-da bir raund</t>
  </si>
  <si>
    <t xml:space="preserve">1/8 - финали</t>
  </si>
  <si>
    <t xml:space="preserve"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</si>
  <si>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强赛</t>
    </r>
  </si>
  <si>
    <t xml:space="preserve">十六強</t>
  </si>
  <si>
    <t xml:space="preserve">Drugi krug</t>
  </si>
  <si>
    <t xml:space="preserve">Osmifinále</t>
  </si>
  <si>
    <t xml:space="preserve">Runde af 16</t>
  </si>
  <si>
    <t xml:space="preserve">Achtste finales</t>
  </si>
  <si>
    <t xml:space="preserve">Huitièmes de finale</t>
  </si>
  <si>
    <t xml:space="preserve">მერვედფინალი</t>
  </si>
  <si>
    <t xml:space="preserve">Achtelfinale</t>
  </si>
  <si>
    <t xml:space="preserve">Φάση των 16</t>
  </si>
  <si>
    <t xml:space="preserve">שמינית גמר</t>
  </si>
  <si>
    <t xml:space="preserve">Nyolcaddöntők</t>
  </si>
  <si>
    <t xml:space="preserve">Per Delapan Final</t>
  </si>
  <si>
    <t xml:space="preserve">16 liða úrslit</t>
  </si>
  <si>
    <t xml:space="preserve"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</si>
  <si>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</t>
    </r>
  </si>
  <si>
    <t xml:space="preserve">16-tuko Raundas</t>
  </si>
  <si>
    <t xml:space="preserve">1/8 финале</t>
  </si>
  <si>
    <t xml:space="preserve">L-Aħħar Sittax</t>
  </si>
  <si>
    <t xml:space="preserve">8-dels finale</t>
  </si>
  <si>
    <t xml:space="preserve"> یک هشتم نهائی</t>
  </si>
  <si>
    <t xml:space="preserve">1/8 Finału</t>
  </si>
  <si>
    <t xml:space="preserve">Oitavos de Final</t>
  </si>
  <si>
    <t xml:space="preserve">Optimi</t>
  </si>
  <si>
    <t xml:space="preserve">1/8 Финала</t>
  </si>
  <si>
    <t xml:space="preserve">Šesnaestina finala</t>
  </si>
  <si>
    <t xml:space="preserve">Osemfinále</t>
  </si>
  <si>
    <t xml:space="preserve">Osminafinala</t>
  </si>
  <si>
    <t xml:space="preserve">Octavos de final</t>
  </si>
  <si>
    <t xml:space="preserve">Åttondelsfinal</t>
  </si>
  <si>
    <t xml:space="preserve">รอบสอง</t>
  </si>
  <si>
    <t xml:space="preserve">Son 16</t>
  </si>
  <si>
    <t xml:space="preserve">Vòng 1/16</t>
  </si>
  <si>
    <t xml:space="preserve">1/8 фіналу</t>
  </si>
  <si>
    <t xml:space="preserve">سولھواں دور</t>
  </si>
  <si>
    <t xml:space="preserve">Quarterfinals</t>
  </si>
  <si>
    <t xml:space="preserve">Qerekfinalja</t>
  </si>
  <si>
    <t xml:space="preserve">دور الربع نهائي</t>
  </si>
  <si>
    <t xml:space="preserve">1/4 Եզրափակիչ</t>
  </si>
  <si>
    <t xml:space="preserve">Dörddə bir Final</t>
  </si>
  <si>
    <t xml:space="preserve">1/4 - финали</t>
  </si>
  <si>
    <t xml:space="preserve"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</si>
  <si>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强赛</t>
    </r>
  </si>
  <si>
    <t xml:space="preserve">八強</t>
  </si>
  <si>
    <t xml:space="preserve">Četvrtfinale</t>
  </si>
  <si>
    <t xml:space="preserve">Čtvrtfinále</t>
  </si>
  <si>
    <t xml:space="preserve">Kvartfinale</t>
  </si>
  <si>
    <t xml:space="preserve">Kwartfinales</t>
  </si>
  <si>
    <t xml:space="preserve">Quart de Finale</t>
  </si>
  <si>
    <t xml:space="preserve">მეოთხედფინალი</t>
  </si>
  <si>
    <t xml:space="preserve">Viertelfinale</t>
  </si>
  <si>
    <t xml:space="preserve">Προημιτελικοί</t>
  </si>
  <si>
    <t xml:space="preserve">רבע גמר</t>
  </si>
  <si>
    <t xml:space="preserve">Negyeddöntők</t>
  </si>
  <si>
    <t xml:space="preserve">Perempat Final</t>
  </si>
  <si>
    <t xml:space="preserve">8 liða úrslit</t>
  </si>
  <si>
    <t xml:space="preserve"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</si>
  <si>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강전</t>
    </r>
  </si>
  <si>
    <t xml:space="preserve">Ketvirtfinaliai</t>
  </si>
  <si>
    <t xml:space="preserve">1/4 финале</t>
  </si>
  <si>
    <t xml:space="preserve">Kwarti-Finali</t>
  </si>
  <si>
    <t xml:space="preserve">یک چهارم نهائی</t>
  </si>
  <si>
    <t xml:space="preserve">Ćwierćfinały</t>
  </si>
  <si>
    <t xml:space="preserve">Quartos de Final</t>
  </si>
  <si>
    <t xml:space="preserve">Sferturi de finala</t>
  </si>
  <si>
    <t xml:space="preserve">Четвертьфиналы</t>
  </si>
  <si>
    <t xml:space="preserve">Štvrťfinále</t>
  </si>
  <si>
    <t xml:space="preserve">Četrtfinale</t>
  </si>
  <si>
    <t xml:space="preserve">Cuartos de Final</t>
  </si>
  <si>
    <t xml:space="preserve">Kvartsfinal</t>
  </si>
  <si>
    <t xml:space="preserve">รอบก่อนรองชนะเลิศ</t>
  </si>
  <si>
    <t xml:space="preserve">Çeyrek Final</t>
  </si>
  <si>
    <t xml:space="preserve">Tứ kết</t>
  </si>
  <si>
    <t xml:space="preserve">Чвертьфінал</t>
  </si>
  <si>
    <t xml:space="preserve">کواٹر فائنل</t>
  </si>
  <si>
    <t xml:space="preserve">Semi-Finals</t>
  </si>
  <si>
    <t xml:space="preserve">Gjysmëfinalja</t>
  </si>
  <si>
    <t xml:space="preserve">دور النصف نهائي</t>
  </si>
  <si>
    <t xml:space="preserve">Կիսաեզրափակիչ</t>
  </si>
  <si>
    <t xml:space="preserve">Yarım Final</t>
  </si>
  <si>
    <t xml:space="preserve">1/2 - финали</t>
  </si>
  <si>
    <t xml:space="preserve">Semifinals</t>
  </si>
  <si>
    <t xml:space="preserve">半决赛</t>
  </si>
  <si>
    <t xml:space="preserve">準決賽</t>
  </si>
  <si>
    <t xml:space="preserve">Polufinale</t>
  </si>
  <si>
    <t xml:space="preserve">Semifinále</t>
  </si>
  <si>
    <t xml:space="preserve">Semifinale</t>
  </si>
  <si>
    <t xml:space="preserve">Halve finales</t>
  </si>
  <si>
    <t xml:space="preserve">Demi-Finale</t>
  </si>
  <si>
    <t xml:space="preserve">ნახევარფინალი</t>
  </si>
  <si>
    <t xml:space="preserve">Halbfinale</t>
  </si>
  <si>
    <t xml:space="preserve">Ημιτελικοί</t>
  </si>
  <si>
    <t xml:space="preserve">חצי גמר</t>
  </si>
  <si>
    <t xml:space="preserve">Elődöntők</t>
  </si>
  <si>
    <t xml:space="preserve">Semi Final</t>
  </si>
  <si>
    <t xml:space="preserve">Undanúrslit</t>
  </si>
  <si>
    <t xml:space="preserve">Semifinali</t>
  </si>
  <si>
    <t xml:space="preserve">준결승전</t>
  </si>
  <si>
    <t xml:space="preserve">Pusfinaliai</t>
  </si>
  <si>
    <t xml:space="preserve">1/2 финале</t>
  </si>
  <si>
    <t xml:space="preserve">Semi-Finali</t>
  </si>
  <si>
    <t xml:space="preserve">نیمه نهائی</t>
  </si>
  <si>
    <t xml:space="preserve">Półfinały</t>
  </si>
  <si>
    <t xml:space="preserve">Semi-final</t>
  </si>
  <si>
    <t xml:space="preserve">Полуфиналы</t>
  </si>
  <si>
    <t xml:space="preserve">Polfinale</t>
  </si>
  <si>
    <t xml:space="preserve">Semifinales</t>
  </si>
  <si>
    <t xml:space="preserve">Semifinal</t>
  </si>
  <si>
    <t xml:space="preserve">รอบรองชนะเลิศ</t>
  </si>
  <si>
    <t xml:space="preserve">Yarı Final</t>
  </si>
  <si>
    <t xml:space="preserve">Bán kết</t>
  </si>
  <si>
    <t xml:space="preserve">Півфінал</t>
  </si>
  <si>
    <t xml:space="preserve">سیمی فائنل</t>
  </si>
  <si>
    <t xml:space="preserve">Third-Place Play-Off</t>
  </si>
  <si>
    <t xml:space="preserve">Takimi për vendin e tretë</t>
  </si>
  <si>
    <t xml:space="preserve">تحديد المركزين الثالث والرابع</t>
  </si>
  <si>
    <t xml:space="preserve">3-րդ տեղի համար եզրափակիչ</t>
  </si>
  <si>
    <t xml:space="preserve">Üçüncü Yer Uğrunda</t>
  </si>
  <si>
    <t xml:space="preserve">Мач за трето място</t>
  </si>
  <si>
    <t xml:space="preserve">3r i 4t lloc</t>
  </si>
  <si>
    <t xml:space="preserve">季军赛</t>
  </si>
  <si>
    <t xml:space="preserve">季軍賽</t>
  </si>
  <si>
    <t xml:space="preserve">Za treće mjesto</t>
  </si>
  <si>
    <t xml:space="preserve">Zápas o 3.místo</t>
  </si>
  <si>
    <t xml:space="preserve">Tredjeplads Kamp</t>
  </si>
  <si>
    <t xml:space="preserve">Derde en vierde plaats</t>
  </si>
  <si>
    <t xml:space="preserve">Match pour la troisième place</t>
  </si>
  <si>
    <t xml:space="preserve">მესამე ადგილი</t>
  </si>
  <si>
    <t xml:space="preserve">Spiel um den dritten Platz</t>
  </si>
  <si>
    <t xml:space="preserve">Μικρός Τελικός</t>
  </si>
  <si>
    <t xml:space="preserve">מקום 3-4</t>
  </si>
  <si>
    <t xml:space="preserve">Bronzmeccs</t>
  </si>
  <si>
    <t xml:space="preserve">Perebutan Tempat Ketiga</t>
  </si>
  <si>
    <t xml:space="preserve">Leikur um 3.sæti</t>
  </si>
  <si>
    <t xml:space="preserve"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</si>
  <si>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 Regular"/>
        <family val="2"/>
        <charset val="1"/>
      </rPr>
      <t>위전</t>
    </r>
  </si>
  <si>
    <t xml:space="preserve">Rungtynės dėl Trečios Vietos</t>
  </si>
  <si>
    <t xml:space="preserve">Натпревар за трето место</t>
  </si>
  <si>
    <t xml:space="preserve">Final għat-Tielet u r-Raba' Post</t>
  </si>
  <si>
    <t xml:space="preserve">Bronsefinale</t>
  </si>
  <si>
    <t xml:space="preserve">رده بندی</t>
  </si>
  <si>
    <t xml:space="preserve">Mecz o trzecie miejsce</t>
  </si>
  <si>
    <t xml:space="preserve">3º/4º lugar</t>
  </si>
  <si>
    <t xml:space="preserve">Finala mica</t>
  </si>
  <si>
    <t xml:space="preserve">Матч за Третье Место</t>
  </si>
  <si>
    <t xml:space="preserve">Zápas o 3. miesto </t>
  </si>
  <si>
    <t xml:space="preserve">Za tretje mesto</t>
  </si>
  <si>
    <t xml:space="preserve">Tercer puesto</t>
  </si>
  <si>
    <t xml:space="preserve">Match om tredje pris</t>
  </si>
  <si>
    <t xml:space="preserve">รอบชิงที่ 3</t>
  </si>
  <si>
    <t xml:space="preserve">Üçüncülük Maçı</t>
  </si>
  <si>
    <t xml:space="preserve">Tranh hạng 3</t>
  </si>
  <si>
    <t xml:space="preserve">Матч за третє місце</t>
  </si>
  <si>
    <t xml:space="preserve">تیسرے مقام کے لئے کھیل</t>
  </si>
  <si>
    <t xml:space="preserve">Final</t>
  </si>
  <si>
    <t xml:space="preserve">Finalja</t>
  </si>
  <si>
    <t xml:space="preserve">المباراة النهائية</t>
  </si>
  <si>
    <t xml:space="preserve">Եզրափակիչ</t>
  </si>
  <si>
    <t xml:space="preserve">Финал</t>
  </si>
  <si>
    <t xml:space="preserve">总决赛</t>
  </si>
  <si>
    <t xml:space="preserve">總決賽</t>
  </si>
  <si>
    <t xml:space="preserve">Finale</t>
  </si>
  <si>
    <t xml:space="preserve">Finále</t>
  </si>
  <si>
    <t xml:space="preserve">ფინალი</t>
  </si>
  <si>
    <t xml:space="preserve">Τελικός</t>
  </si>
  <si>
    <t xml:space="preserve">גמר</t>
  </si>
  <si>
    <t xml:space="preserve">Döntő</t>
  </si>
  <si>
    <t xml:space="preserve">Úrslit</t>
  </si>
  <si>
    <t xml:space="preserve">결승전</t>
  </si>
  <si>
    <t xml:space="preserve">Finalas</t>
  </si>
  <si>
    <t xml:space="preserve">Финале</t>
  </si>
  <si>
    <t xml:space="preserve">Finali</t>
  </si>
  <si>
    <t xml:space="preserve">فینال</t>
  </si>
  <si>
    <t xml:space="preserve">Finał</t>
  </si>
  <si>
    <t xml:space="preserve">FINALA</t>
  </si>
  <si>
    <t xml:space="preserve">รอบชิงชนะเลิศ</t>
  </si>
  <si>
    <t xml:space="preserve">Chung Kết</t>
  </si>
  <si>
    <t xml:space="preserve">Фінал</t>
  </si>
  <si>
    <t xml:space="preserve">فائنل</t>
  </si>
  <si>
    <t xml:space="preserve">Group</t>
  </si>
  <si>
    <t xml:space="preserve">Grupi</t>
  </si>
  <si>
    <t xml:space="preserve">المجموعة</t>
  </si>
  <si>
    <t xml:space="preserve">Խումբ</t>
  </si>
  <si>
    <t xml:space="preserve">Qrup</t>
  </si>
  <si>
    <t xml:space="preserve">Група</t>
  </si>
  <si>
    <t xml:space="preserve">Grup</t>
  </si>
  <si>
    <t xml:space="preserve">小组</t>
  </si>
  <si>
    <t xml:space="preserve">小組</t>
  </si>
  <si>
    <t xml:space="preserve">Grupa</t>
  </si>
  <si>
    <t xml:space="preserve">Skupina</t>
  </si>
  <si>
    <t xml:space="preserve">Gruppe</t>
  </si>
  <si>
    <t xml:space="preserve">Groep</t>
  </si>
  <si>
    <t xml:space="preserve">Groupe</t>
  </si>
  <si>
    <t xml:space="preserve">ჯგუფი</t>
  </si>
  <si>
    <t xml:space="preserve">Όμιλος</t>
  </si>
  <si>
    <t xml:space="preserve">בית</t>
  </si>
  <si>
    <t xml:space="preserve">Csoport</t>
  </si>
  <si>
    <t xml:space="preserve">Kelompok</t>
  </si>
  <si>
    <t xml:space="preserve">Riðill</t>
  </si>
  <si>
    <t xml:space="preserve">Gruppo</t>
  </si>
  <si>
    <t xml:space="preserve">그룹</t>
  </si>
  <si>
    <t xml:space="preserve">Grupė</t>
  </si>
  <si>
    <t xml:space="preserve">Grupp</t>
  </si>
  <si>
    <t xml:space="preserve">گروه</t>
  </si>
  <si>
    <t xml:space="preserve">Grupo</t>
  </si>
  <si>
    <t xml:space="preserve">Группа</t>
  </si>
  <si>
    <t xml:space="preserve">สาย</t>
  </si>
  <si>
    <t xml:space="preserve">Bảng</t>
  </si>
  <si>
    <t xml:space="preserve">PL</t>
  </si>
  <si>
    <t xml:space="preserve">L</t>
  </si>
  <si>
    <t xml:space="preserve">لعب</t>
  </si>
  <si>
    <t xml:space="preserve">Խ</t>
  </si>
  <si>
    <t xml:space="preserve">O</t>
  </si>
  <si>
    <t xml:space="preserve">М</t>
  </si>
  <si>
    <t xml:space="preserve">J</t>
  </si>
  <si>
    <t xml:space="preserve">场次</t>
  </si>
  <si>
    <t xml:space="preserve">賽</t>
  </si>
  <si>
    <t xml:space="preserve">Z</t>
  </si>
  <si>
    <t xml:space="preserve">SP</t>
  </si>
  <si>
    <t xml:space="preserve">WG</t>
  </si>
  <si>
    <t xml:space="preserve">თ</t>
  </si>
  <si>
    <t xml:space="preserve">ΑΓ</t>
  </si>
  <si>
    <t xml:space="preserve">משחקים</t>
  </si>
  <si>
    <t xml:space="preserve">M</t>
  </si>
  <si>
    <t xml:space="preserve">Main</t>
  </si>
  <si>
    <t xml:space="preserve">G</t>
  </si>
  <si>
    <t xml:space="preserve">경기</t>
  </si>
  <si>
    <t xml:space="preserve">Žst</t>
  </si>
  <si>
    <t xml:space="preserve">О</t>
  </si>
  <si>
    <t xml:space="preserve">S</t>
  </si>
  <si>
    <t xml:space="preserve">بازی</t>
  </si>
  <si>
    <t xml:space="preserve">И</t>
  </si>
  <si>
    <t xml:space="preserve">UT</t>
  </si>
  <si>
    <t xml:space="preserve">Sp</t>
  </si>
  <si>
    <t xml:space="preserve">แข่ง</t>
  </si>
  <si>
    <t xml:space="preserve">Trận</t>
  </si>
  <si>
    <t xml:space="preserve">І</t>
  </si>
  <si>
    <t xml:space="preserve">کھیلے گئے مقابلے</t>
  </si>
  <si>
    <t xml:space="preserve">W</t>
  </si>
  <si>
    <t xml:space="preserve">F</t>
  </si>
  <si>
    <t xml:space="preserve">فاز</t>
  </si>
  <si>
    <t xml:space="preserve">Հ</t>
  </si>
  <si>
    <t xml:space="preserve">Q</t>
  </si>
  <si>
    <t xml:space="preserve">П</t>
  </si>
  <si>
    <t xml:space="preserve">胜</t>
  </si>
  <si>
    <t xml:space="preserve">勝</t>
  </si>
  <si>
    <t xml:space="preserve">V</t>
  </si>
  <si>
    <t xml:space="preserve">მოგ</t>
  </si>
  <si>
    <t xml:space="preserve">Ν</t>
  </si>
  <si>
    <t xml:space="preserve">נצחונות</t>
  </si>
  <si>
    <t xml:space="preserve">GY</t>
  </si>
  <si>
    <t xml:space="preserve">Menang</t>
  </si>
  <si>
    <t xml:space="preserve">U</t>
  </si>
  <si>
    <t xml:space="preserve">승</t>
  </si>
  <si>
    <t xml:space="preserve">R</t>
  </si>
  <si>
    <t xml:space="preserve">برد</t>
  </si>
  <si>
    <t xml:space="preserve">В</t>
  </si>
  <si>
    <t xml:space="preserve">P</t>
  </si>
  <si>
    <t xml:space="preserve">ชนะ</t>
  </si>
  <si>
    <t xml:space="preserve">T</t>
  </si>
  <si>
    <t xml:space="preserve">جیت</t>
  </si>
  <si>
    <t xml:space="preserve">DRAW</t>
  </si>
  <si>
    <t xml:space="preserve">BAR</t>
  </si>
  <si>
    <t xml:space="preserve">تعادل</t>
  </si>
  <si>
    <t xml:space="preserve">Ո</t>
  </si>
  <si>
    <t xml:space="preserve">H</t>
  </si>
  <si>
    <t xml:space="preserve">Р</t>
  </si>
  <si>
    <t xml:space="preserve">E</t>
  </si>
  <si>
    <t xml:space="preserve">平</t>
  </si>
  <si>
    <t xml:space="preserve">和</t>
  </si>
  <si>
    <t xml:space="preserve">Uafgjort</t>
  </si>
  <si>
    <t xml:space="preserve">ფრე</t>
  </si>
  <si>
    <t xml:space="preserve">Ι</t>
  </si>
  <si>
    <t xml:space="preserve">תיקו</t>
  </si>
  <si>
    <t xml:space="preserve">D</t>
  </si>
  <si>
    <t xml:space="preserve">Seri</t>
  </si>
  <si>
    <t xml:space="preserve">Jafnt</t>
  </si>
  <si>
    <t xml:space="preserve">무</t>
  </si>
  <si>
    <t xml:space="preserve">Lyg</t>
  </si>
  <si>
    <t xml:space="preserve">Н</t>
  </si>
  <si>
    <t xml:space="preserve">I</t>
  </si>
  <si>
    <t xml:space="preserve">مساوی</t>
  </si>
  <si>
    <t xml:space="preserve">NER.</t>
  </si>
  <si>
    <t xml:space="preserve">เสมอ</t>
  </si>
  <si>
    <t xml:space="preserve">B</t>
  </si>
  <si>
    <t xml:space="preserve">برابر</t>
  </si>
  <si>
    <t xml:space="preserve">خسر</t>
  </si>
  <si>
    <t xml:space="preserve">Պ</t>
  </si>
  <si>
    <t xml:space="preserve">З</t>
  </si>
  <si>
    <t xml:space="preserve">负</t>
  </si>
  <si>
    <t xml:space="preserve">負</t>
  </si>
  <si>
    <t xml:space="preserve">წაგ</t>
  </si>
  <si>
    <t xml:space="preserve">N</t>
  </si>
  <si>
    <t xml:space="preserve">Η </t>
  </si>
  <si>
    <t xml:space="preserve">הפסדים</t>
  </si>
  <si>
    <t xml:space="preserve">Kalah</t>
  </si>
  <si>
    <t xml:space="preserve">패</t>
  </si>
  <si>
    <t xml:space="preserve">باخت</t>
  </si>
  <si>
    <t xml:space="preserve">แพ้</t>
  </si>
  <si>
    <t xml:space="preserve">ہارے گئے مقابلے</t>
  </si>
  <si>
    <t xml:space="preserve">GF - GA</t>
  </si>
  <si>
    <t xml:space="preserve">GSH-GP</t>
  </si>
  <si>
    <t xml:space="preserve">عليه - له</t>
  </si>
  <si>
    <t xml:space="preserve">ԽԳ-ԲԳ</t>
  </si>
  <si>
    <t xml:space="preserve">QV - QB</t>
  </si>
  <si>
    <t xml:space="preserve">Гол. Разл.</t>
  </si>
  <si>
    <t xml:space="preserve">GF - GC</t>
  </si>
  <si>
    <t xml:space="preserve">得失球</t>
  </si>
  <si>
    <r>
      <rPr>
        <sz val="10"/>
        <rFont val="Noto Sans CJK SC Regular"/>
        <family val="2"/>
        <charset val="1"/>
      </rPr>
      <t>得球 </t>
    </r>
    <r>
      <rPr>
        <sz val="10"/>
        <rFont val="Calibri"/>
        <family val="2"/>
        <charset val="204"/>
      </rPr>
      <t>- </t>
    </r>
    <r>
      <rPr>
        <sz val="10"/>
        <rFont val="Noto Sans CJK SC Regular"/>
        <family val="2"/>
        <charset val="1"/>
      </rPr>
      <t>失球</t>
    </r>
  </si>
  <si>
    <t xml:space="preserve">GV - GI</t>
  </si>
  <si>
    <t xml:space="preserve">MF - MI</t>
  </si>
  <si>
    <t xml:space="preserve">DV-DT</t>
  </si>
  <si>
    <t xml:space="preserve">BP - BC</t>
  </si>
  <si>
    <t xml:space="preserve">გგ - მგ</t>
  </si>
  <si>
    <t xml:space="preserve">ET - KT</t>
  </si>
  <si>
    <t xml:space="preserve">Υ-Κ</t>
  </si>
  <si>
    <t xml:space="preserve">יחס שערים</t>
  </si>
  <si>
    <t xml:space="preserve">Gólkül.</t>
  </si>
  <si>
    <t xml:space="preserve">Skor </t>
  </si>
  <si>
    <t xml:space="preserve">S - F</t>
  </si>
  <si>
    <t xml:space="preserve">GF - GS</t>
  </si>
  <si>
    <t xml:space="preserve">골득실</t>
  </si>
  <si>
    <t xml:space="preserve">Įm - Pr</t>
  </si>
  <si>
    <t xml:space="preserve">Разлика</t>
  </si>
  <si>
    <t xml:space="preserve">GF - GK</t>
  </si>
  <si>
    <t xml:space="preserve">Mål</t>
  </si>
  <si>
    <t xml:space="preserve">خورده-زده</t>
  </si>
  <si>
    <t xml:space="preserve">Z - S</t>
  </si>
  <si>
    <t xml:space="preserve">GM - GS</t>
  </si>
  <si>
    <t xml:space="preserve">GM - GP</t>
  </si>
  <si>
    <t xml:space="preserve">З - П</t>
  </si>
  <si>
    <t xml:space="preserve">GD - GP</t>
  </si>
  <si>
    <t xml:space="preserve">GS-GI</t>
  </si>
  <si>
    <t xml:space="preserve">GM – IM</t>
  </si>
  <si>
    <t xml:space="preserve">ได้ - เสีย</t>
  </si>
  <si>
    <t xml:space="preserve">A - Y</t>
  </si>
  <si>
    <t xml:space="preserve">Hiệu số</t>
  </si>
  <si>
    <t xml:space="preserve">М </t>
  </si>
  <si>
    <t xml:space="preserve">گول کئے- انکے خلاف گول کئے گئے</t>
  </si>
  <si>
    <t xml:space="preserve">PNT</t>
  </si>
  <si>
    <t xml:space="preserve">PIK</t>
  </si>
  <si>
    <t xml:space="preserve">النقاط</t>
  </si>
  <si>
    <t xml:space="preserve">Մ</t>
  </si>
  <si>
    <t xml:space="preserve">Xal</t>
  </si>
  <si>
    <t xml:space="preserve">Т</t>
  </si>
  <si>
    <t xml:space="preserve">Punts</t>
  </si>
  <si>
    <t xml:space="preserve">积分</t>
  </si>
  <si>
    <t xml:space="preserve">分數</t>
  </si>
  <si>
    <t xml:space="preserve">Body</t>
  </si>
  <si>
    <t xml:space="preserve">PTS</t>
  </si>
  <si>
    <t xml:space="preserve">ქულა</t>
  </si>
  <si>
    <t xml:space="preserve">PKT</t>
  </si>
  <si>
    <t xml:space="preserve">ΒΘ</t>
  </si>
  <si>
    <t xml:space="preserve">נקודות</t>
  </si>
  <si>
    <t xml:space="preserve">Nilai</t>
  </si>
  <si>
    <t xml:space="preserve">Stig</t>
  </si>
  <si>
    <t xml:space="preserve">Punti</t>
  </si>
  <si>
    <t xml:space="preserve">승점</t>
  </si>
  <si>
    <t xml:space="preserve">Tšk</t>
  </si>
  <si>
    <t xml:space="preserve">Б</t>
  </si>
  <si>
    <t xml:space="preserve">امتیاز</t>
  </si>
  <si>
    <t xml:space="preserve">Pkt</t>
  </si>
  <si>
    <t xml:space="preserve">ОЧКИ</t>
  </si>
  <si>
    <t xml:space="preserve">BOD</t>
  </si>
  <si>
    <t xml:space="preserve">คะแนน</t>
  </si>
  <si>
    <t xml:space="preserve">Điểm</t>
  </si>
  <si>
    <t xml:space="preserve">نشان</t>
  </si>
  <si>
    <t xml:space="preserve">Sun</t>
  </si>
  <si>
    <t xml:space="preserve">Diel</t>
  </si>
  <si>
    <t xml:space="preserve">الأحد</t>
  </si>
  <si>
    <t xml:space="preserve">Կիր.</t>
  </si>
  <si>
    <t xml:space="preserve">Нед</t>
  </si>
  <si>
    <t xml:space="preserve">Diu</t>
  </si>
  <si>
    <t xml:space="preserve">周日</t>
  </si>
  <si>
    <t xml:space="preserve">Ned</t>
  </si>
  <si>
    <t xml:space="preserve">Ne</t>
  </si>
  <si>
    <t xml:space="preserve">Søn</t>
  </si>
  <si>
    <t xml:space="preserve">Zo</t>
  </si>
  <si>
    <t xml:space="preserve">კვირა</t>
  </si>
  <si>
    <t xml:space="preserve">Κυρ</t>
  </si>
  <si>
    <t xml:space="preserve">ראשון</t>
  </si>
  <si>
    <t xml:space="preserve">Vas</t>
  </si>
  <si>
    <t xml:space="preserve">Min</t>
  </si>
  <si>
    <t xml:space="preserve">Dom</t>
  </si>
  <si>
    <t xml:space="preserve">일</t>
  </si>
  <si>
    <t xml:space="preserve">Sekm</t>
  </si>
  <si>
    <t xml:space="preserve">Ħad</t>
  </si>
  <si>
    <t xml:space="preserve">یکشنبه</t>
  </si>
  <si>
    <t xml:space="preserve">Nd</t>
  </si>
  <si>
    <t xml:space="preserve">Dum</t>
  </si>
  <si>
    <t xml:space="preserve">Вс</t>
  </si>
  <si>
    <t xml:space="preserve">Sön</t>
  </si>
  <si>
    <t xml:space="preserve">อาทิตย์</t>
  </si>
  <si>
    <t xml:space="preserve">Paz</t>
  </si>
  <si>
    <t xml:space="preserve">CN</t>
  </si>
  <si>
    <t xml:space="preserve">Нд</t>
  </si>
  <si>
    <t xml:space="preserve">اتوار</t>
  </si>
  <si>
    <t xml:space="preserve">Mon</t>
  </si>
  <si>
    <t xml:space="preserve">Hënë</t>
  </si>
  <si>
    <t xml:space="preserve">الاثنين</t>
  </si>
  <si>
    <t xml:space="preserve">Երկ.</t>
  </si>
  <si>
    <t xml:space="preserve">BE</t>
  </si>
  <si>
    <t xml:space="preserve">Пон</t>
  </si>
  <si>
    <t xml:space="preserve">Dil</t>
  </si>
  <si>
    <t xml:space="preserve">周一</t>
  </si>
  <si>
    <t xml:space="preserve">Pon</t>
  </si>
  <si>
    <t xml:space="preserve">Po</t>
  </si>
  <si>
    <t xml:space="preserve">Man</t>
  </si>
  <si>
    <t xml:space="preserve">Ma</t>
  </si>
  <si>
    <t xml:space="preserve">ორშ</t>
  </si>
  <si>
    <t xml:space="preserve">Δευ</t>
  </si>
  <si>
    <t xml:space="preserve">שני</t>
  </si>
  <si>
    <t xml:space="preserve">Hét</t>
  </si>
  <si>
    <t xml:space="preserve">Sen</t>
  </si>
  <si>
    <t xml:space="preserve">Mán</t>
  </si>
  <si>
    <t xml:space="preserve">Lun</t>
  </si>
  <si>
    <t xml:space="preserve">월</t>
  </si>
  <si>
    <t xml:space="preserve">Pirm</t>
  </si>
  <si>
    <t xml:space="preserve">Tne</t>
  </si>
  <si>
    <t xml:space="preserve">دوشنبه</t>
  </si>
  <si>
    <t xml:space="preserve">Pn</t>
  </si>
  <si>
    <t xml:space="preserve">Seg</t>
  </si>
  <si>
    <t xml:space="preserve">Пн</t>
  </si>
  <si>
    <t xml:space="preserve">Mån</t>
  </si>
  <si>
    <t xml:space="preserve">จันทร์</t>
  </si>
  <si>
    <t xml:space="preserve">Pzt</t>
  </si>
  <si>
    <t xml:space="preserve">T2</t>
  </si>
  <si>
    <t xml:space="preserve">پیر</t>
  </si>
  <si>
    <t xml:space="preserve">Tue</t>
  </si>
  <si>
    <t xml:space="preserve">Mar</t>
  </si>
  <si>
    <t xml:space="preserve">الثلاثاء</t>
  </si>
  <si>
    <t xml:space="preserve">Երեք.</t>
  </si>
  <si>
    <t xml:space="preserve">ÇA</t>
  </si>
  <si>
    <t xml:space="preserve">Вт</t>
  </si>
  <si>
    <t xml:space="preserve">Dim</t>
  </si>
  <si>
    <t xml:space="preserve">周二</t>
  </si>
  <si>
    <t xml:space="preserve">Uto</t>
  </si>
  <si>
    <t xml:space="preserve">Út</t>
  </si>
  <si>
    <t xml:space="preserve">Tir</t>
  </si>
  <si>
    <t xml:space="preserve">Di</t>
  </si>
  <si>
    <t xml:space="preserve">სამშ</t>
  </si>
  <si>
    <t xml:space="preserve">Τρι</t>
  </si>
  <si>
    <t xml:space="preserve">שלישי</t>
  </si>
  <si>
    <t xml:space="preserve">Ke</t>
  </si>
  <si>
    <t xml:space="preserve">Sel</t>
  </si>
  <si>
    <t xml:space="preserve">Þri</t>
  </si>
  <si>
    <t xml:space="preserve">화</t>
  </si>
  <si>
    <t xml:space="preserve">Antr</t>
  </si>
  <si>
    <t xml:space="preserve">Вто</t>
  </si>
  <si>
    <t xml:space="preserve">Tli</t>
  </si>
  <si>
    <t xml:space="preserve">Tirs</t>
  </si>
  <si>
    <t xml:space="preserve">سه شنبه</t>
  </si>
  <si>
    <t xml:space="preserve">Wt</t>
  </si>
  <si>
    <t xml:space="preserve">Ter</t>
  </si>
  <si>
    <t xml:space="preserve">Ut</t>
  </si>
  <si>
    <t xml:space="preserve">Tor</t>
  </si>
  <si>
    <t xml:space="preserve">Tis</t>
  </si>
  <si>
    <t xml:space="preserve">อังคาร</t>
  </si>
  <si>
    <t xml:space="preserve">Sal</t>
  </si>
  <si>
    <t xml:space="preserve">T3</t>
  </si>
  <si>
    <t xml:space="preserve">منگل</t>
  </si>
  <si>
    <t xml:space="preserve">Wed</t>
  </si>
  <si>
    <t xml:space="preserve">Mër</t>
  </si>
  <si>
    <t xml:space="preserve">الأربعاء</t>
  </si>
  <si>
    <t xml:space="preserve">Չոր.</t>
  </si>
  <si>
    <t xml:space="preserve">Ç</t>
  </si>
  <si>
    <t xml:space="preserve">Сря</t>
  </si>
  <si>
    <t xml:space="preserve">Dix</t>
  </si>
  <si>
    <t xml:space="preserve">周三</t>
  </si>
  <si>
    <t xml:space="preserve">Sri</t>
  </si>
  <si>
    <t xml:space="preserve">St</t>
  </si>
  <si>
    <t xml:space="preserve">Ons</t>
  </si>
  <si>
    <t xml:space="preserve">Wo</t>
  </si>
  <si>
    <t xml:space="preserve">ოთხშ</t>
  </si>
  <si>
    <t xml:space="preserve">Τετ</t>
  </si>
  <si>
    <t xml:space="preserve">רביעי</t>
  </si>
  <si>
    <t xml:space="preserve">Sze</t>
  </si>
  <si>
    <t xml:space="preserve">Rab</t>
  </si>
  <si>
    <t xml:space="preserve">Mið</t>
  </si>
  <si>
    <t xml:space="preserve">Mer</t>
  </si>
  <si>
    <t xml:space="preserve">수</t>
  </si>
  <si>
    <t xml:space="preserve">Treč</t>
  </si>
  <si>
    <t xml:space="preserve">Сре</t>
  </si>
  <si>
    <t xml:space="preserve">Erb</t>
  </si>
  <si>
    <t xml:space="preserve">چهارشنبه</t>
  </si>
  <si>
    <t xml:space="preserve">Śr</t>
  </si>
  <si>
    <t xml:space="preserve">Qua</t>
  </si>
  <si>
    <t xml:space="preserve">Mie</t>
  </si>
  <si>
    <t xml:space="preserve">Ср</t>
  </si>
  <si>
    <t xml:space="preserve">Sre</t>
  </si>
  <si>
    <t xml:space="preserve">พุธ</t>
  </si>
  <si>
    <t xml:space="preserve">Çar</t>
  </si>
  <si>
    <t xml:space="preserve">T4</t>
  </si>
  <si>
    <t xml:space="preserve">بدھ</t>
  </si>
  <si>
    <t xml:space="preserve">Thu</t>
  </si>
  <si>
    <t xml:space="preserve">Enjt</t>
  </si>
  <si>
    <t xml:space="preserve">الخميس</t>
  </si>
  <si>
    <t xml:space="preserve">Հինգ.</t>
  </si>
  <si>
    <t xml:space="preserve">CA</t>
  </si>
  <si>
    <t xml:space="preserve">Четв</t>
  </si>
  <si>
    <t xml:space="preserve">Dij</t>
  </si>
  <si>
    <t xml:space="preserve">周四</t>
  </si>
  <si>
    <t xml:space="preserve">Čet</t>
  </si>
  <si>
    <t xml:space="preserve">Čt</t>
  </si>
  <si>
    <t xml:space="preserve">Do</t>
  </si>
  <si>
    <t xml:space="preserve">ხუთშ</t>
  </si>
  <si>
    <t xml:space="preserve">Πεμ</t>
  </si>
  <si>
    <t xml:space="preserve">חמישי</t>
  </si>
  <si>
    <t xml:space="preserve">Csü</t>
  </si>
  <si>
    <t xml:space="preserve">Kam</t>
  </si>
  <si>
    <t xml:space="preserve">Fim</t>
  </si>
  <si>
    <t xml:space="preserve">Gio</t>
  </si>
  <si>
    <t xml:space="preserve">목</t>
  </si>
  <si>
    <t xml:space="preserve">Ketv</t>
  </si>
  <si>
    <t xml:space="preserve">Чет</t>
  </si>
  <si>
    <t xml:space="preserve">Ħam</t>
  </si>
  <si>
    <t xml:space="preserve">Tors</t>
  </si>
  <si>
    <t xml:space="preserve">پنجشنبه</t>
  </si>
  <si>
    <t xml:space="preserve">Cz</t>
  </si>
  <si>
    <t xml:space="preserve">Qui</t>
  </si>
  <si>
    <t xml:space="preserve">Joi</t>
  </si>
  <si>
    <t xml:space="preserve">Чт</t>
  </si>
  <si>
    <t xml:space="preserve">Št</t>
  </si>
  <si>
    <t xml:space="preserve">พฤหัส</t>
  </si>
  <si>
    <t xml:space="preserve">Per</t>
  </si>
  <si>
    <t xml:space="preserve">T5</t>
  </si>
  <si>
    <t xml:space="preserve">جمعرات</t>
  </si>
  <si>
    <t xml:space="preserve">Fri</t>
  </si>
  <si>
    <t xml:space="preserve">Pre</t>
  </si>
  <si>
    <t xml:space="preserve">الجمعة</t>
  </si>
  <si>
    <t xml:space="preserve">Ուրբ.</t>
  </si>
  <si>
    <t xml:space="preserve">C</t>
  </si>
  <si>
    <t xml:space="preserve">Пет</t>
  </si>
  <si>
    <t xml:space="preserve">Div</t>
  </si>
  <si>
    <t xml:space="preserve">周五</t>
  </si>
  <si>
    <t xml:space="preserve">Pet</t>
  </si>
  <si>
    <t xml:space="preserve">Pá</t>
  </si>
  <si>
    <t xml:space="preserve">Fre</t>
  </si>
  <si>
    <t xml:space="preserve">Vr</t>
  </si>
  <si>
    <t xml:space="preserve">პარ</t>
  </si>
  <si>
    <t xml:space="preserve">Παρ</t>
  </si>
  <si>
    <t xml:space="preserve">שישי</t>
  </si>
  <si>
    <t xml:space="preserve">Pé</t>
  </si>
  <si>
    <t xml:space="preserve">Jum</t>
  </si>
  <si>
    <t xml:space="preserve">Fös</t>
  </si>
  <si>
    <t xml:space="preserve">Ven</t>
  </si>
  <si>
    <t xml:space="preserve">금</t>
  </si>
  <si>
    <t xml:space="preserve">Penk</t>
  </si>
  <si>
    <t xml:space="preserve">Ġim</t>
  </si>
  <si>
    <t xml:space="preserve">جمعه</t>
  </si>
  <si>
    <t xml:space="preserve">Pt</t>
  </si>
  <si>
    <t xml:space="preserve">Sex</t>
  </si>
  <si>
    <t xml:space="preserve">Vin</t>
  </si>
  <si>
    <t xml:space="preserve">Пт</t>
  </si>
  <si>
    <t xml:space="preserve">Pi</t>
  </si>
  <si>
    <t xml:space="preserve">ศุกร์</t>
  </si>
  <si>
    <t xml:space="preserve">Cum</t>
  </si>
  <si>
    <t xml:space="preserve">T6</t>
  </si>
  <si>
    <t xml:space="preserve">جمعہ</t>
  </si>
  <si>
    <t xml:space="preserve">Sat</t>
  </si>
  <si>
    <t xml:space="preserve">Sht</t>
  </si>
  <si>
    <t xml:space="preserve">السبت</t>
  </si>
  <si>
    <t xml:space="preserve">Շաբ.</t>
  </si>
  <si>
    <t xml:space="preserve">Ş</t>
  </si>
  <si>
    <t xml:space="preserve">Съб</t>
  </si>
  <si>
    <t xml:space="preserve">Dis</t>
  </si>
  <si>
    <t xml:space="preserve">周六</t>
  </si>
  <si>
    <t xml:space="preserve">Sub</t>
  </si>
  <si>
    <t xml:space="preserve">So</t>
  </si>
  <si>
    <t xml:space="preserve">Lør</t>
  </si>
  <si>
    <t xml:space="preserve">Za</t>
  </si>
  <si>
    <t xml:space="preserve">შაბ</t>
  </si>
  <si>
    <t xml:space="preserve">Σαβ</t>
  </si>
  <si>
    <t xml:space="preserve">שבת</t>
  </si>
  <si>
    <t xml:space="preserve">Szo</t>
  </si>
  <si>
    <t xml:space="preserve">Sab</t>
  </si>
  <si>
    <t xml:space="preserve">Lau</t>
  </si>
  <si>
    <t xml:space="preserve">토</t>
  </si>
  <si>
    <t xml:space="preserve">Šešt</t>
  </si>
  <si>
    <t xml:space="preserve">Саб</t>
  </si>
  <si>
    <t xml:space="preserve">Sib</t>
  </si>
  <si>
    <t xml:space="preserve">شنبه</t>
  </si>
  <si>
    <t xml:space="preserve">Sam</t>
  </si>
  <si>
    <t xml:space="preserve">Сб</t>
  </si>
  <si>
    <t xml:space="preserve">Sob</t>
  </si>
  <si>
    <t xml:space="preserve">Lör</t>
  </si>
  <si>
    <t xml:space="preserve">เสาร์</t>
  </si>
  <si>
    <t xml:space="preserve">Cmt</t>
  </si>
  <si>
    <t xml:space="preserve">T7</t>
  </si>
  <si>
    <t xml:space="preserve">سنیچر</t>
  </si>
  <si>
    <t xml:space="preserve">Jan</t>
  </si>
  <si>
    <t xml:space="preserve">كانون ثاني</t>
  </si>
  <si>
    <t xml:space="preserve">Հունվ.</t>
  </si>
  <si>
    <t xml:space="preserve">Yan</t>
  </si>
  <si>
    <t xml:space="preserve">Януари</t>
  </si>
  <si>
    <t xml:space="preserve">Gen</t>
  </si>
  <si>
    <t xml:space="preserve">一月</t>
  </si>
  <si>
    <t xml:space="preserve">Sij</t>
  </si>
  <si>
    <t xml:space="preserve">Janv</t>
  </si>
  <si>
    <t xml:space="preserve">იან</t>
  </si>
  <si>
    <t xml:space="preserve">Ιαν</t>
  </si>
  <si>
    <t xml:space="preserve">ינואר</t>
  </si>
  <si>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월</t>
    </r>
  </si>
  <si>
    <t xml:space="preserve">Saus</t>
  </si>
  <si>
    <t xml:space="preserve">Јан</t>
  </si>
  <si>
    <t xml:space="preserve">زانویه</t>
  </si>
  <si>
    <t xml:space="preserve">Sty</t>
  </si>
  <si>
    <t xml:space="preserve">Ian</t>
  </si>
  <si>
    <t xml:space="preserve">Янв</t>
  </si>
  <si>
    <t xml:space="preserve">Ene</t>
  </si>
  <si>
    <t xml:space="preserve">jan</t>
  </si>
  <si>
    <t xml:space="preserve">มกราคม</t>
  </si>
  <si>
    <t xml:space="preserve">Oca</t>
  </si>
  <si>
    <t xml:space="preserve">Tháng 1</t>
  </si>
  <si>
    <t xml:space="preserve">Січ</t>
  </si>
  <si>
    <t xml:space="preserve">جنوری</t>
  </si>
  <si>
    <t xml:space="preserve">Feb</t>
  </si>
  <si>
    <t xml:space="preserve">Shk</t>
  </si>
  <si>
    <t xml:space="preserve">شباط</t>
  </si>
  <si>
    <t xml:space="preserve">Փետր.</t>
  </si>
  <si>
    <t xml:space="preserve">Fev</t>
  </si>
  <si>
    <t xml:space="preserve">Февруари</t>
  </si>
  <si>
    <t xml:space="preserve">二月</t>
  </si>
  <si>
    <t xml:space="preserve">Vel</t>
  </si>
  <si>
    <t xml:space="preserve">Févr</t>
  </si>
  <si>
    <t xml:space="preserve">თებ</t>
  </si>
  <si>
    <t xml:space="preserve">Φεβ</t>
  </si>
  <si>
    <t xml:space="preserve">פברואר</t>
  </si>
  <si>
    <t xml:space="preserve">Peb</t>
  </si>
  <si>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월</t>
    </r>
  </si>
  <si>
    <t xml:space="preserve">Фев</t>
  </si>
  <si>
    <t xml:space="preserve">Fra</t>
  </si>
  <si>
    <t xml:space="preserve">فوریه</t>
  </si>
  <si>
    <t xml:space="preserve">Lut</t>
  </si>
  <si>
    <t xml:space="preserve">กุมภาพันธ์</t>
  </si>
  <si>
    <t xml:space="preserve">Şub</t>
  </si>
  <si>
    <t xml:space="preserve">Tháng 2</t>
  </si>
  <si>
    <t xml:space="preserve">Лют</t>
  </si>
  <si>
    <t xml:space="preserve">فروری</t>
  </si>
  <si>
    <t xml:space="preserve">آذار</t>
  </si>
  <si>
    <t xml:space="preserve">Մարտ</t>
  </si>
  <si>
    <t xml:space="preserve">Март</t>
  </si>
  <si>
    <t xml:space="preserve">三月</t>
  </si>
  <si>
    <t xml:space="preserve">Ožu</t>
  </si>
  <si>
    <t xml:space="preserve">Mrt</t>
  </si>
  <si>
    <t xml:space="preserve">Mars</t>
  </si>
  <si>
    <t xml:space="preserve">მარ</t>
  </si>
  <si>
    <t xml:space="preserve">Mrz</t>
  </si>
  <si>
    <t xml:space="preserve">Μαρ</t>
  </si>
  <si>
    <t xml:space="preserve">מרץ</t>
  </si>
  <si>
    <t xml:space="preserve">Már</t>
  </si>
  <si>
    <r>
      <rPr>
        <sz val="10"/>
        <rFont val="Calibri"/>
        <family val="2"/>
        <charset val="204"/>
      </rPr>
      <t>3</t>
    </r>
    <r>
      <rPr>
        <sz val="10"/>
        <rFont val="Noto Sans CJK SC Regular"/>
        <family val="2"/>
        <charset val="1"/>
      </rPr>
      <t>월</t>
    </r>
  </si>
  <si>
    <t xml:space="preserve">Kov</t>
  </si>
  <si>
    <t xml:space="preserve">Мар</t>
  </si>
  <si>
    <t xml:space="preserve">مارس</t>
  </si>
  <si>
    <t xml:space="preserve">mar</t>
  </si>
  <si>
    <t xml:space="preserve">มีนาคม</t>
  </si>
  <si>
    <t xml:space="preserve">Tháng 3</t>
  </si>
  <si>
    <t xml:space="preserve">Бер</t>
  </si>
  <si>
    <t xml:space="preserve">مارچ</t>
  </si>
  <si>
    <t xml:space="preserve">Apr</t>
  </si>
  <si>
    <t xml:space="preserve">Pri</t>
  </si>
  <si>
    <t xml:space="preserve">نيسان</t>
  </si>
  <si>
    <t xml:space="preserve">Ապրիլ</t>
  </si>
  <si>
    <t xml:space="preserve">Април</t>
  </si>
  <si>
    <t xml:space="preserve">Abr</t>
  </si>
  <si>
    <t xml:space="preserve">四月</t>
  </si>
  <si>
    <t xml:space="preserve">Tra</t>
  </si>
  <si>
    <t xml:space="preserve">Avr</t>
  </si>
  <si>
    <t xml:space="preserve">აპრ</t>
  </si>
  <si>
    <t xml:space="preserve">Απρ</t>
  </si>
  <si>
    <t xml:space="preserve">אפריל</t>
  </si>
  <si>
    <t xml:space="preserve">Ápr</t>
  </si>
  <si>
    <r>
      <rPr>
        <sz val="10"/>
        <rFont val="Calibri"/>
        <family val="2"/>
        <charset val="204"/>
      </rPr>
      <t>4</t>
    </r>
    <r>
      <rPr>
        <sz val="10"/>
        <rFont val="Noto Sans CJK SC Regular"/>
        <family val="2"/>
        <charset val="1"/>
      </rPr>
      <t>월</t>
    </r>
  </si>
  <si>
    <t xml:space="preserve">Bal</t>
  </si>
  <si>
    <t xml:space="preserve">Апр</t>
  </si>
  <si>
    <t xml:space="preserve">آوریل</t>
  </si>
  <si>
    <t xml:space="preserve">Kwi</t>
  </si>
  <si>
    <t xml:space="preserve">apr</t>
  </si>
  <si>
    <t xml:space="preserve">เมษายน</t>
  </si>
  <si>
    <t xml:space="preserve">Nis</t>
  </si>
  <si>
    <t xml:space="preserve">Tháng 4</t>
  </si>
  <si>
    <t xml:space="preserve">Квіт</t>
  </si>
  <si>
    <t xml:space="preserve">اپریل</t>
  </si>
  <si>
    <t xml:space="preserve">May</t>
  </si>
  <si>
    <t xml:space="preserve">Maj</t>
  </si>
  <si>
    <t xml:space="preserve">أياد</t>
  </si>
  <si>
    <t xml:space="preserve">Մայիս</t>
  </si>
  <si>
    <t xml:space="preserve">Май</t>
  </si>
  <si>
    <t xml:space="preserve">Mai</t>
  </si>
  <si>
    <t xml:space="preserve">五月</t>
  </si>
  <si>
    <t xml:space="preserve">Svi</t>
  </si>
  <si>
    <t xml:space="preserve">Mei</t>
  </si>
  <si>
    <t xml:space="preserve">მაი</t>
  </si>
  <si>
    <t xml:space="preserve">Μαϊ</t>
  </si>
  <si>
    <t xml:space="preserve">מאי</t>
  </si>
  <si>
    <t xml:space="preserve">Máj</t>
  </si>
  <si>
    <t xml:space="preserve">Maí</t>
  </si>
  <si>
    <t xml:space="preserve">Mag</t>
  </si>
  <si>
    <r>
      <rPr>
        <sz val="10"/>
        <rFont val="Calibri"/>
        <family val="2"/>
        <charset val="204"/>
      </rPr>
      <t>5</t>
    </r>
    <r>
      <rPr>
        <sz val="10"/>
        <rFont val="Noto Sans CJK SC Regular"/>
        <family val="2"/>
        <charset val="1"/>
      </rPr>
      <t>월</t>
    </r>
  </si>
  <si>
    <t xml:space="preserve">Geg</t>
  </si>
  <si>
    <t xml:space="preserve">Мај</t>
  </si>
  <si>
    <t xml:space="preserve">Mej</t>
  </si>
  <si>
    <t xml:space="preserve">می</t>
  </si>
  <si>
    <t xml:space="preserve">maj</t>
  </si>
  <si>
    <t xml:space="preserve">พฤษภาคม</t>
  </si>
  <si>
    <t xml:space="preserve">Tháng 5</t>
  </si>
  <si>
    <t xml:space="preserve">Трав</t>
  </si>
  <si>
    <t xml:space="preserve">مئی</t>
  </si>
  <si>
    <t xml:space="preserve">Jun</t>
  </si>
  <si>
    <t xml:space="preserve">Qer</t>
  </si>
  <si>
    <t xml:space="preserve">حزيران</t>
  </si>
  <si>
    <t xml:space="preserve">Հունիս</t>
  </si>
  <si>
    <t xml:space="preserve">İyn</t>
  </si>
  <si>
    <t xml:space="preserve">Юни</t>
  </si>
  <si>
    <t xml:space="preserve">六月</t>
  </si>
  <si>
    <t xml:space="preserve">Lip</t>
  </si>
  <si>
    <t xml:space="preserve">Čer</t>
  </si>
  <si>
    <t xml:space="preserve">Juin</t>
  </si>
  <si>
    <t xml:space="preserve">ივნ</t>
  </si>
  <si>
    <t xml:space="preserve">Ιουν</t>
  </si>
  <si>
    <t xml:space="preserve">יוני</t>
  </si>
  <si>
    <t xml:space="preserve">Jún</t>
  </si>
  <si>
    <t xml:space="preserve">Giu</t>
  </si>
  <si>
    <r>
      <rPr>
        <sz val="10"/>
        <rFont val="Calibri"/>
        <family val="2"/>
        <charset val="204"/>
      </rPr>
      <t>6</t>
    </r>
    <r>
      <rPr>
        <sz val="10"/>
        <rFont val="Noto Sans CJK SC Regular"/>
        <family val="2"/>
        <charset val="1"/>
      </rPr>
      <t>월</t>
    </r>
  </si>
  <si>
    <t xml:space="preserve">Birž</t>
  </si>
  <si>
    <t xml:space="preserve">Јун</t>
  </si>
  <si>
    <t xml:space="preserve">Ġun</t>
  </si>
  <si>
    <t xml:space="preserve">ژوئن</t>
  </si>
  <si>
    <t xml:space="preserve">Cze</t>
  </si>
  <si>
    <t xml:space="preserve">Iun</t>
  </si>
  <si>
    <t xml:space="preserve">Июн</t>
  </si>
  <si>
    <t xml:space="preserve">jun</t>
  </si>
  <si>
    <t xml:space="preserve">มิถุนายน</t>
  </si>
  <si>
    <t xml:space="preserve">Haz</t>
  </si>
  <si>
    <t xml:space="preserve">Tháng 6</t>
  </si>
  <si>
    <t xml:space="preserve">Черв</t>
  </si>
  <si>
    <t xml:space="preserve">جون</t>
  </si>
  <si>
    <t xml:space="preserve">Jul</t>
  </si>
  <si>
    <t xml:space="preserve">Kor</t>
  </si>
  <si>
    <t xml:space="preserve">تموز</t>
  </si>
  <si>
    <t xml:space="preserve">Հուլիս</t>
  </si>
  <si>
    <t xml:space="preserve">İyl</t>
  </si>
  <si>
    <t xml:space="preserve">Юли</t>
  </si>
  <si>
    <t xml:space="preserve">七月</t>
  </si>
  <si>
    <t xml:space="preserve">Srp</t>
  </si>
  <si>
    <t xml:space="preserve">Čec</t>
  </si>
  <si>
    <t xml:space="preserve">Juil</t>
  </si>
  <si>
    <t xml:space="preserve">ივლ</t>
  </si>
  <si>
    <t xml:space="preserve">Ιουλ</t>
  </si>
  <si>
    <t xml:space="preserve">יולי</t>
  </si>
  <si>
    <t xml:space="preserve">Júl</t>
  </si>
  <si>
    <t xml:space="preserve">Lug</t>
  </si>
  <si>
    <r>
      <rPr>
        <sz val="10"/>
        <rFont val="Calibri"/>
        <family val="2"/>
        <charset val="204"/>
      </rPr>
      <t>7</t>
    </r>
    <r>
      <rPr>
        <sz val="10"/>
        <rFont val="Noto Sans CJK SC Regular"/>
        <family val="2"/>
        <charset val="1"/>
      </rPr>
      <t>월</t>
    </r>
  </si>
  <si>
    <t xml:space="preserve">Lie</t>
  </si>
  <si>
    <t xml:space="preserve">Јул</t>
  </si>
  <si>
    <t xml:space="preserve">Lul</t>
  </si>
  <si>
    <t xml:space="preserve">ژولای</t>
  </si>
  <si>
    <t xml:space="preserve">Iul</t>
  </si>
  <si>
    <t xml:space="preserve">Июл</t>
  </si>
  <si>
    <t xml:space="preserve">jul</t>
  </si>
  <si>
    <t xml:space="preserve">กรกฎาคม</t>
  </si>
  <si>
    <t xml:space="preserve">Tem</t>
  </si>
  <si>
    <t xml:space="preserve">Tháng 7</t>
  </si>
  <si>
    <t xml:space="preserve">Лип</t>
  </si>
  <si>
    <t xml:space="preserve">جولائی</t>
  </si>
  <si>
    <t xml:space="preserve">Aug</t>
  </si>
  <si>
    <t xml:space="preserve">Gus</t>
  </si>
  <si>
    <t xml:space="preserve">آب</t>
  </si>
  <si>
    <t xml:space="preserve">Օգոս.</t>
  </si>
  <si>
    <t xml:space="preserve">Avq</t>
  </si>
  <si>
    <t xml:space="preserve">Август</t>
  </si>
  <si>
    <t xml:space="preserve">Ago</t>
  </si>
  <si>
    <t xml:space="preserve">八月</t>
  </si>
  <si>
    <t xml:space="preserve">Kol</t>
  </si>
  <si>
    <t xml:space="preserve">Août</t>
  </si>
  <si>
    <t xml:space="preserve">აგვ</t>
  </si>
  <si>
    <t xml:space="preserve">Αυγ</t>
  </si>
  <si>
    <t xml:space="preserve">אוגוסט</t>
  </si>
  <si>
    <t xml:space="preserve">Agu</t>
  </si>
  <si>
    <t xml:space="preserve">Ágú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</si>
  <si>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월</t>
    </r>
  </si>
  <si>
    <t xml:space="preserve">Rugp</t>
  </si>
  <si>
    <t xml:space="preserve">Авг</t>
  </si>
  <si>
    <t xml:space="preserve">Aww</t>
  </si>
  <si>
    <t xml:space="preserve">اگوست</t>
  </si>
  <si>
    <t xml:space="preserve">Się</t>
  </si>
  <si>
    <t xml:space="preserve">Avg</t>
  </si>
  <si>
    <t xml:space="preserve">สิงหาคม</t>
  </si>
  <si>
    <t xml:space="preserve">Ağu</t>
  </si>
  <si>
    <t xml:space="preserve">Tháng 8</t>
  </si>
  <si>
    <t xml:space="preserve">Серп</t>
  </si>
  <si>
    <t xml:space="preserve">اگست</t>
  </si>
  <si>
    <t xml:space="preserve">Sep</t>
  </si>
  <si>
    <t xml:space="preserve">Shta</t>
  </si>
  <si>
    <t xml:space="preserve">أيلول</t>
  </si>
  <si>
    <t xml:space="preserve">Սեպտ.</t>
  </si>
  <si>
    <t xml:space="preserve">Септември</t>
  </si>
  <si>
    <t xml:space="preserve">Set</t>
  </si>
  <si>
    <t xml:space="preserve">九月</t>
  </si>
  <si>
    <t xml:space="preserve">Ruj</t>
  </si>
  <si>
    <t xml:space="preserve">Sept</t>
  </si>
  <si>
    <t xml:space="preserve">სექ</t>
  </si>
  <si>
    <t xml:space="preserve">Σεπ</t>
  </si>
  <si>
    <t xml:space="preserve">ספטמבר</t>
  </si>
  <si>
    <t xml:space="preserve">Szep</t>
  </si>
  <si>
    <r>
      <rPr>
        <sz val="10"/>
        <rFont val="Calibri"/>
        <family val="2"/>
        <charset val="204"/>
      </rPr>
      <t>9</t>
    </r>
    <r>
      <rPr>
        <sz val="10"/>
        <rFont val="Noto Sans CJK SC Regular"/>
        <family val="2"/>
        <charset val="1"/>
      </rPr>
      <t>월</t>
    </r>
  </si>
  <si>
    <t xml:space="preserve">Rugs</t>
  </si>
  <si>
    <t xml:space="preserve">Сеп</t>
  </si>
  <si>
    <t xml:space="preserve">سپتامبر</t>
  </si>
  <si>
    <t xml:space="preserve">Wrz</t>
  </si>
  <si>
    <t xml:space="preserve">Сен</t>
  </si>
  <si>
    <t xml:space="preserve">sep</t>
  </si>
  <si>
    <t xml:space="preserve">กันยายน</t>
  </si>
  <si>
    <t xml:space="preserve">Eyl</t>
  </si>
  <si>
    <t xml:space="preserve">Tháng 9</t>
  </si>
  <si>
    <t xml:space="preserve">Вер</t>
  </si>
  <si>
    <t xml:space="preserve">ستمبر</t>
  </si>
  <si>
    <t xml:space="preserve">Oct</t>
  </si>
  <si>
    <t xml:space="preserve">Tet</t>
  </si>
  <si>
    <t xml:space="preserve">تشرين أول</t>
  </si>
  <si>
    <t xml:space="preserve">Հոկտ.</t>
  </si>
  <si>
    <t xml:space="preserve">Okt</t>
  </si>
  <si>
    <t xml:space="preserve">Октомври</t>
  </si>
  <si>
    <t xml:space="preserve">十月</t>
  </si>
  <si>
    <t xml:space="preserve">Lis</t>
  </si>
  <si>
    <t xml:space="preserve">ოქტ</t>
  </si>
  <si>
    <t xml:space="preserve">Οκτ</t>
  </si>
  <si>
    <t xml:space="preserve">אוקטובר</t>
  </si>
  <si>
    <t xml:space="preserve">Ott</t>
  </si>
  <si>
    <r>
      <rPr>
        <sz val="10"/>
        <rFont val="Calibri"/>
        <family val="2"/>
        <charset val="204"/>
      </rPr>
      <t>10</t>
    </r>
    <r>
      <rPr>
        <sz val="10"/>
        <rFont val="Noto Sans CJK SC Regular"/>
        <family val="2"/>
        <charset val="1"/>
      </rPr>
      <t>월</t>
    </r>
  </si>
  <si>
    <t xml:space="preserve">Spa</t>
  </si>
  <si>
    <t xml:space="preserve">Окт</t>
  </si>
  <si>
    <t xml:space="preserve">اکتبر</t>
  </si>
  <si>
    <t xml:space="preserve">Paź</t>
  </si>
  <si>
    <t xml:space="preserve">Out</t>
  </si>
  <si>
    <t xml:space="preserve">okt</t>
  </si>
  <si>
    <t xml:space="preserve">ตุลาคม</t>
  </si>
  <si>
    <t xml:space="preserve">Eki</t>
  </si>
  <si>
    <t xml:space="preserve">Tháng 10</t>
  </si>
  <si>
    <t xml:space="preserve">Жовт</t>
  </si>
  <si>
    <t xml:space="preserve">اکتوبر</t>
  </si>
  <si>
    <t xml:space="preserve">Nov</t>
  </si>
  <si>
    <t xml:space="preserve">Nën</t>
  </si>
  <si>
    <t xml:space="preserve">تشرين ثاني</t>
  </si>
  <si>
    <t xml:space="preserve">Նոյեմ.</t>
  </si>
  <si>
    <t xml:space="preserve">Noy</t>
  </si>
  <si>
    <t xml:space="preserve">Ноември</t>
  </si>
  <si>
    <t xml:space="preserve">十一月</t>
  </si>
  <si>
    <t xml:space="preserve">Stu</t>
  </si>
  <si>
    <t xml:space="preserve">ნოე</t>
  </si>
  <si>
    <t xml:space="preserve">Νοε</t>
  </si>
  <si>
    <t xml:space="preserve">נובמבר</t>
  </si>
  <si>
    <t xml:space="preserve">Nop</t>
  </si>
  <si>
    <t xml:space="preserve">Nóv</t>
  </si>
  <si>
    <r>
      <rPr>
        <sz val="10"/>
        <rFont val="Calibri"/>
        <family val="2"/>
        <charset val="204"/>
      </rPr>
      <t>11</t>
    </r>
    <r>
      <rPr>
        <sz val="10"/>
        <rFont val="Noto Sans CJK SC Regular"/>
        <family val="2"/>
        <charset val="1"/>
      </rPr>
      <t>월</t>
    </r>
  </si>
  <si>
    <t xml:space="preserve">Lapk</t>
  </si>
  <si>
    <t xml:space="preserve">Ное</t>
  </si>
  <si>
    <t xml:space="preserve">نوامبر</t>
  </si>
  <si>
    <t xml:space="preserve">Noi</t>
  </si>
  <si>
    <t xml:space="preserve">Ноя</t>
  </si>
  <si>
    <t xml:space="preserve">nov</t>
  </si>
  <si>
    <t xml:space="preserve">พฤศจิกายน</t>
  </si>
  <si>
    <t xml:space="preserve">Kas</t>
  </si>
  <si>
    <t xml:space="preserve">Tháng 11</t>
  </si>
  <si>
    <t xml:space="preserve">Лист</t>
  </si>
  <si>
    <t xml:space="preserve">نومبر</t>
  </si>
  <si>
    <t xml:space="preserve">Dec</t>
  </si>
  <si>
    <t xml:space="preserve">Dhj</t>
  </si>
  <si>
    <t xml:space="preserve">كانون أول</t>
  </si>
  <si>
    <t xml:space="preserve">Դեկտ.</t>
  </si>
  <si>
    <t xml:space="preserve">Dek</t>
  </si>
  <si>
    <t xml:space="preserve">Декември</t>
  </si>
  <si>
    <t xml:space="preserve">Des</t>
  </si>
  <si>
    <t xml:space="preserve">十二月</t>
  </si>
  <si>
    <t xml:space="preserve">Pro</t>
  </si>
  <si>
    <t xml:space="preserve">Déc</t>
  </si>
  <si>
    <t xml:space="preserve">დეკ</t>
  </si>
  <si>
    <t xml:space="preserve">Dez</t>
  </si>
  <si>
    <t xml:space="preserve">Δεκ</t>
  </si>
  <si>
    <t xml:space="preserve">דצמבר</t>
  </si>
  <si>
    <t xml:space="preserve">Dic</t>
  </si>
  <si>
    <r>
      <rPr>
        <sz val="10"/>
        <rFont val="Calibri"/>
        <family val="2"/>
        <charset val="204"/>
      </rPr>
      <t>12</t>
    </r>
    <r>
      <rPr>
        <sz val="10"/>
        <rFont val="Noto Sans CJK SC Regular"/>
        <family val="2"/>
        <charset val="1"/>
      </rPr>
      <t>월</t>
    </r>
  </si>
  <si>
    <t xml:space="preserve">Gruo</t>
  </si>
  <si>
    <t xml:space="preserve">Дек</t>
  </si>
  <si>
    <t xml:space="preserve">Deċ</t>
  </si>
  <si>
    <t xml:space="preserve">دسامبر</t>
  </si>
  <si>
    <t xml:space="preserve">Gru</t>
  </si>
  <si>
    <t xml:space="preserve">dec</t>
  </si>
  <si>
    <t xml:space="preserve">ธันวาคม</t>
  </si>
  <si>
    <t xml:space="preserve">Ara</t>
  </si>
  <si>
    <t xml:space="preserve">Tháng 12</t>
  </si>
  <si>
    <t xml:space="preserve">Груд</t>
  </si>
  <si>
    <t xml:space="preserve">دسمبر</t>
  </si>
  <si>
    <t xml:space="preserve">Team</t>
  </si>
  <si>
    <t xml:space="preserve">Ekipi</t>
  </si>
  <si>
    <t xml:space="preserve">المنتخب</t>
  </si>
  <si>
    <t xml:space="preserve">Հավաքական</t>
  </si>
  <si>
    <t xml:space="preserve">Komanda</t>
  </si>
  <si>
    <t xml:space="preserve">Отбор</t>
  </si>
  <si>
    <t xml:space="preserve">Equip</t>
  </si>
  <si>
    <t xml:space="preserve">球队</t>
  </si>
  <si>
    <t xml:space="preserve">隊伍</t>
  </si>
  <si>
    <t xml:space="preserve">Hold</t>
  </si>
  <si>
    <t xml:space="preserve">Équipe</t>
  </si>
  <si>
    <t xml:space="preserve">ნაკრები</t>
  </si>
  <si>
    <t xml:space="preserve">Ομάδα</t>
  </si>
  <si>
    <t xml:space="preserve">קבוצה</t>
  </si>
  <si>
    <t xml:space="preserve">Csapat</t>
  </si>
  <si>
    <t xml:space="preserve">Tim</t>
  </si>
  <si>
    <t xml:space="preserve">Lið</t>
  </si>
  <si>
    <t xml:space="preserve">Squadra</t>
  </si>
  <si>
    <t xml:space="preserve">팀</t>
  </si>
  <si>
    <t xml:space="preserve">Тим</t>
  </si>
  <si>
    <t xml:space="preserve">Lag</t>
  </si>
  <si>
    <t xml:space="preserve">تیم</t>
  </si>
  <si>
    <t xml:space="preserve">Drużyna</t>
  </si>
  <si>
    <t xml:space="preserve">Equipa</t>
  </si>
  <si>
    <t xml:space="preserve">Echipa</t>
  </si>
  <si>
    <t xml:space="preserve">Команда</t>
  </si>
  <si>
    <t xml:space="preserve">Reprezentacija</t>
  </si>
  <si>
    <t xml:space="preserve">Mužstvo</t>
  </si>
  <si>
    <t xml:space="preserve">Moštvo</t>
  </si>
  <si>
    <t xml:space="preserve">Equipo</t>
  </si>
  <si>
    <t xml:space="preserve">ทึม</t>
  </si>
  <si>
    <t xml:space="preserve">Takım</t>
  </si>
  <si>
    <t xml:space="preserve">Đội</t>
  </si>
  <si>
    <t xml:space="preserve">ٹیم</t>
  </si>
  <si>
    <t xml:space="preserve">Albania</t>
  </si>
  <si>
    <t xml:space="preserve">Shqipëri</t>
  </si>
  <si>
    <t xml:space="preserve">ألبانيا</t>
  </si>
  <si>
    <t xml:space="preserve">Ալբանիա</t>
  </si>
  <si>
    <t xml:space="preserve">Albaniya</t>
  </si>
  <si>
    <t xml:space="preserve">Албания</t>
  </si>
  <si>
    <t xml:space="preserve">Albània</t>
  </si>
  <si>
    <t xml:space="preserve">阿尔巴尼亚</t>
  </si>
  <si>
    <t xml:space="preserve">阿爾巴尼亞</t>
  </si>
  <si>
    <t xml:space="preserve">Albanija</t>
  </si>
  <si>
    <t xml:space="preserve">Albánie</t>
  </si>
  <si>
    <t xml:space="preserve">Albanien</t>
  </si>
  <si>
    <t xml:space="preserve">Albanië</t>
  </si>
  <si>
    <t xml:space="preserve">Albanie</t>
  </si>
  <si>
    <t xml:space="preserve">Αλβανία</t>
  </si>
  <si>
    <t xml:space="preserve">אלבניה</t>
  </si>
  <si>
    <t xml:space="preserve">Albánia</t>
  </si>
  <si>
    <t xml:space="preserve">Albanía</t>
  </si>
  <si>
    <t xml:space="preserve">알바니아</t>
  </si>
  <si>
    <t xml:space="preserve">Албанија</t>
  </si>
  <si>
    <t xml:space="preserve">آلبانی</t>
  </si>
  <si>
    <t xml:space="preserve">Albânia</t>
  </si>
  <si>
    <t xml:space="preserve">Albánsko</t>
  </si>
  <si>
    <t xml:space="preserve">albanien</t>
  </si>
  <si>
    <t xml:space="preserve">แอลเบเนีย</t>
  </si>
  <si>
    <t xml:space="preserve">Arnavutluk</t>
  </si>
  <si>
    <t xml:space="preserve">Албанія</t>
  </si>
  <si>
    <t xml:space="preserve">البانیا</t>
  </si>
  <si>
    <t xml:space="preserve">Romania</t>
  </si>
  <si>
    <t xml:space="preserve">Rumani</t>
  </si>
  <si>
    <t xml:space="preserve">رومانيا</t>
  </si>
  <si>
    <t xml:space="preserve">Ռումինիա</t>
  </si>
  <si>
    <t xml:space="preserve">Rumıniya</t>
  </si>
  <si>
    <t xml:space="preserve">Румъния</t>
  </si>
  <si>
    <t xml:space="preserve">罗马尼亚</t>
  </si>
  <si>
    <t xml:space="preserve">羅馬尼亞</t>
  </si>
  <si>
    <t xml:space="preserve">Rumunija</t>
  </si>
  <si>
    <t xml:space="preserve">Rumunsko</t>
  </si>
  <si>
    <t xml:space="preserve">Rumænien</t>
  </si>
  <si>
    <t xml:space="preserve">Roemenië</t>
  </si>
  <si>
    <t xml:space="preserve">Roumanie</t>
  </si>
  <si>
    <t xml:space="preserve">რუმინეთი</t>
  </si>
  <si>
    <t xml:space="preserve">Rumänien</t>
  </si>
  <si>
    <t xml:space="preserve">Ρουμανία</t>
  </si>
  <si>
    <t xml:space="preserve">רומני</t>
  </si>
  <si>
    <t xml:space="preserve">Románia</t>
  </si>
  <si>
    <t xml:space="preserve">Rumania</t>
  </si>
  <si>
    <t xml:space="preserve">rúmenía</t>
  </si>
  <si>
    <t xml:space="preserve">루마니아</t>
  </si>
  <si>
    <t xml:space="preserve">Романија</t>
  </si>
  <si>
    <t xml:space="preserve">Ir-Rumanija</t>
  </si>
  <si>
    <t xml:space="preserve">رومانی</t>
  </si>
  <si>
    <t xml:space="preserve">Rumunia</t>
  </si>
  <si>
    <t xml:space="preserve">Romênia</t>
  </si>
  <si>
    <t xml:space="preserve">România</t>
  </si>
  <si>
    <t xml:space="preserve">Румыния</t>
  </si>
  <si>
    <t xml:space="preserve">Румунија</t>
  </si>
  <si>
    <t xml:space="preserve">Romunija</t>
  </si>
  <si>
    <t xml:space="preserve">rumänien</t>
  </si>
  <si>
    <t xml:space="preserve">โรมาเนีย</t>
  </si>
  <si>
    <t xml:space="preserve">Romanya</t>
  </si>
  <si>
    <t xml:space="preserve">Румунія</t>
  </si>
  <si>
    <t xml:space="preserve">رومانیہ</t>
  </si>
  <si>
    <t xml:space="preserve">Spain</t>
  </si>
  <si>
    <t xml:space="preserve">Spanjë</t>
  </si>
  <si>
    <t xml:space="preserve">إسبانيا</t>
  </si>
  <si>
    <t xml:space="preserve">Իսպանիա</t>
  </si>
  <si>
    <t xml:space="preserve">İspaniya</t>
  </si>
  <si>
    <t xml:space="preserve">Испания</t>
  </si>
  <si>
    <t xml:space="preserve">Espanya</t>
  </si>
  <si>
    <t xml:space="preserve">西班牙</t>
  </si>
  <si>
    <t xml:space="preserve">Španjolska</t>
  </si>
  <si>
    <t xml:space="preserve">Španělsko</t>
  </si>
  <si>
    <t xml:space="preserve">Spanien</t>
  </si>
  <si>
    <t xml:space="preserve">Spanje</t>
  </si>
  <si>
    <t xml:space="preserve">Espagne</t>
  </si>
  <si>
    <t xml:space="preserve">ესპანეთში</t>
  </si>
  <si>
    <t xml:space="preserve">Ισπανία</t>
  </si>
  <si>
    <t xml:space="preserve">ספרד</t>
  </si>
  <si>
    <t xml:space="preserve">Spanyolország</t>
  </si>
  <si>
    <t xml:space="preserve">Spanyol</t>
  </si>
  <si>
    <t xml:space="preserve">spain</t>
  </si>
  <si>
    <t xml:space="preserve">Spagna</t>
  </si>
  <si>
    <t xml:space="preserve">스페인</t>
  </si>
  <si>
    <t xml:space="preserve">Ispanija</t>
  </si>
  <si>
    <t xml:space="preserve">Шпанија</t>
  </si>
  <si>
    <t xml:space="preserve">Spanja</t>
  </si>
  <si>
    <t xml:space="preserve">Spania</t>
  </si>
  <si>
    <t xml:space="preserve">کشور اسپانیا</t>
  </si>
  <si>
    <t xml:space="preserve">Hiszpania</t>
  </si>
  <si>
    <t xml:space="preserve">Espanha</t>
  </si>
  <si>
    <t xml:space="preserve">španielsko</t>
  </si>
  <si>
    <t xml:space="preserve">Španija</t>
  </si>
  <si>
    <t xml:space="preserve">España</t>
  </si>
  <si>
    <t xml:space="preserve">สเปน</t>
  </si>
  <si>
    <t xml:space="preserve">İspanya</t>
  </si>
  <si>
    <t xml:space="preserve">Tây ban nha</t>
  </si>
  <si>
    <t xml:space="preserve">Іспанія</t>
  </si>
  <si>
    <t xml:space="preserve">سپین</t>
  </si>
  <si>
    <t xml:space="preserve">Italy</t>
  </si>
  <si>
    <t xml:space="preserve">Itali</t>
  </si>
  <si>
    <t xml:space="preserve">إيطاليا</t>
  </si>
  <si>
    <t xml:space="preserve">Իտալիա</t>
  </si>
  <si>
    <t xml:space="preserve">İtaliya</t>
  </si>
  <si>
    <t xml:space="preserve">Италия</t>
  </si>
  <si>
    <t xml:space="preserve">Itàlia</t>
  </si>
  <si>
    <t xml:space="preserve">意大利</t>
  </si>
  <si>
    <t xml:space="preserve">Italija</t>
  </si>
  <si>
    <t xml:space="preserve">Itálie</t>
  </si>
  <si>
    <t xml:space="preserve">Italien</t>
  </si>
  <si>
    <t xml:space="preserve">Italië</t>
  </si>
  <si>
    <t xml:space="preserve">Italie</t>
  </si>
  <si>
    <t xml:space="preserve">იტალიაში</t>
  </si>
  <si>
    <t xml:space="preserve">Ιταλία</t>
  </si>
  <si>
    <t xml:space="preserve">איטליה</t>
  </si>
  <si>
    <t xml:space="preserve">Olaszország</t>
  </si>
  <si>
    <t xml:space="preserve">Italia</t>
  </si>
  <si>
    <t xml:space="preserve">이탈리아</t>
  </si>
  <si>
    <t xml:space="preserve">Италија</t>
  </si>
  <si>
    <t xml:space="preserve">Italja</t>
  </si>
  <si>
    <t xml:space="preserve">ایتالیا</t>
  </si>
  <si>
    <t xml:space="preserve">Włochy</t>
  </si>
  <si>
    <t xml:space="preserve">Itália</t>
  </si>
  <si>
    <t xml:space="preserve">taliansko</t>
  </si>
  <si>
    <t xml:space="preserve">อิตาลี</t>
  </si>
  <si>
    <t xml:space="preserve">İtalya</t>
  </si>
  <si>
    <t xml:space="preserve">Ý</t>
  </si>
  <si>
    <t xml:space="preserve">Італія</t>
  </si>
  <si>
    <t xml:space="preserve">اٹلی</t>
  </si>
  <si>
    <t xml:space="preserve">Portugal</t>
  </si>
  <si>
    <t xml:space="preserve">Portugali</t>
  </si>
  <si>
    <t xml:space="preserve">البرتغال</t>
  </si>
  <si>
    <t xml:space="preserve">Պորտուգալիա</t>
  </si>
  <si>
    <t xml:space="preserve">Portuqaliya</t>
  </si>
  <si>
    <t xml:space="preserve">Португалия</t>
  </si>
  <si>
    <t xml:space="preserve">葡萄牙</t>
  </si>
  <si>
    <t xml:space="preserve">Portugalija</t>
  </si>
  <si>
    <t xml:space="preserve">Portugalsko</t>
  </si>
  <si>
    <t xml:space="preserve">პორტუგალიის</t>
  </si>
  <si>
    <t xml:space="preserve">Πορτογαλία</t>
  </si>
  <si>
    <t xml:space="preserve">פורטוגל</t>
  </si>
  <si>
    <t xml:space="preserve">Portugália</t>
  </si>
  <si>
    <t xml:space="preserve">Portogallo</t>
  </si>
  <si>
    <t xml:space="preserve">포르투갈</t>
  </si>
  <si>
    <t xml:space="preserve">Португалија</t>
  </si>
  <si>
    <t xml:space="preserve">Portugall</t>
  </si>
  <si>
    <t xml:space="preserve">پرتغال</t>
  </si>
  <si>
    <t xml:space="preserve">Portugalia</t>
  </si>
  <si>
    <t xml:space="preserve">Portugalska</t>
  </si>
  <si>
    <t xml:space="preserve">โปรตุเกส</t>
  </si>
  <si>
    <t xml:space="preserve">Portekiz</t>
  </si>
  <si>
    <t xml:space="preserve">Bồ Đào Nha</t>
  </si>
  <si>
    <t xml:space="preserve">Португалія</t>
  </si>
  <si>
    <t xml:space="preserve">پرتگال</t>
  </si>
  <si>
    <t xml:space="preserve">Hungary</t>
  </si>
  <si>
    <t xml:space="preserve">Hungari</t>
  </si>
  <si>
    <t xml:space="preserve">هنغاريا</t>
  </si>
  <si>
    <t xml:space="preserve">Հունգարիա</t>
  </si>
  <si>
    <t xml:space="preserve">Macarıstan</t>
  </si>
  <si>
    <t xml:space="preserve">Унгария</t>
  </si>
  <si>
    <t xml:space="preserve">Hongria</t>
  </si>
  <si>
    <t xml:space="preserve">匈牙利</t>
  </si>
  <si>
    <t xml:space="preserve">Mađarska</t>
  </si>
  <si>
    <t xml:space="preserve">Maďarsko</t>
  </si>
  <si>
    <t xml:space="preserve">Ungarn</t>
  </si>
  <si>
    <t xml:space="preserve">Hongarije</t>
  </si>
  <si>
    <t xml:space="preserve">Hongrie</t>
  </si>
  <si>
    <t xml:space="preserve">უნგრეთი</t>
  </si>
  <si>
    <t xml:space="preserve">Ουγγαρία</t>
  </si>
  <si>
    <t xml:space="preserve">הונגריה</t>
  </si>
  <si>
    <t xml:space="preserve">Magyarország</t>
  </si>
  <si>
    <t xml:space="preserve">Hongaria</t>
  </si>
  <si>
    <t xml:space="preserve">Ungverjaland</t>
  </si>
  <si>
    <t xml:space="preserve">Ungheria</t>
  </si>
  <si>
    <t xml:space="preserve">헝가리</t>
  </si>
  <si>
    <t xml:space="preserve">Vengrija</t>
  </si>
  <si>
    <t xml:space="preserve">Унгарија</t>
  </si>
  <si>
    <t xml:space="preserve">L-Ungerija</t>
  </si>
  <si>
    <t xml:space="preserve">مجارستان</t>
  </si>
  <si>
    <t xml:space="preserve">Węgry</t>
  </si>
  <si>
    <t xml:space="preserve">Hungria</t>
  </si>
  <si>
    <t xml:space="preserve">Ungaria</t>
  </si>
  <si>
    <t xml:space="preserve">Венгрия</t>
  </si>
  <si>
    <t xml:space="preserve">Мађарска</t>
  </si>
  <si>
    <t xml:space="preserve">maďarsko</t>
  </si>
  <si>
    <t xml:space="preserve">Madžarska</t>
  </si>
  <si>
    <t xml:space="preserve">Hungría</t>
  </si>
  <si>
    <t xml:space="preserve">Ungern</t>
  </si>
  <si>
    <t xml:space="preserve">ฮังการี</t>
  </si>
  <si>
    <t xml:space="preserve">Macaristan</t>
  </si>
  <si>
    <t xml:space="preserve">Угорщина</t>
  </si>
  <si>
    <t xml:space="preserve">ہنگری</t>
  </si>
  <si>
    <t xml:space="preserve">Ukraine</t>
  </si>
  <si>
    <t xml:space="preserve">Ukrainë</t>
  </si>
  <si>
    <t xml:space="preserve">أوكرانيا</t>
  </si>
  <si>
    <t xml:space="preserve">Ուկրաինան</t>
  </si>
  <si>
    <t xml:space="preserve">Ukrayna</t>
  </si>
  <si>
    <t xml:space="preserve">Украйна</t>
  </si>
  <si>
    <t xml:space="preserve">Ucraïna</t>
  </si>
  <si>
    <t xml:space="preserve">乌克兰</t>
  </si>
  <si>
    <t xml:space="preserve">烏克蘭</t>
  </si>
  <si>
    <t xml:space="preserve">Ukrajina</t>
  </si>
  <si>
    <t xml:space="preserve">Oekraïne</t>
  </si>
  <si>
    <t xml:space="preserve">უკრაინა</t>
  </si>
  <si>
    <t xml:space="preserve">Ουκρανία</t>
  </si>
  <si>
    <t xml:space="preserve">אוקראינה</t>
  </si>
  <si>
    <t xml:space="preserve">Ukrajna</t>
  </si>
  <si>
    <t xml:space="preserve">Ukraina</t>
  </si>
  <si>
    <t xml:space="preserve">Úkraína</t>
  </si>
  <si>
    <t xml:space="preserve">Ucraina</t>
  </si>
  <si>
    <t xml:space="preserve">우크라이나</t>
  </si>
  <si>
    <t xml:space="preserve">Украина</t>
  </si>
  <si>
    <t xml:space="preserve">اوکراین</t>
  </si>
  <si>
    <t xml:space="preserve">Ucrânia</t>
  </si>
  <si>
    <t xml:space="preserve">Украјина</t>
  </si>
  <si>
    <t xml:space="preserve">Ucrania</t>
  </si>
  <si>
    <t xml:space="preserve">ยูเครน</t>
  </si>
  <si>
    <t xml:space="preserve">Україна</t>
  </si>
  <si>
    <t xml:space="preserve">یوکرائن</t>
  </si>
  <si>
    <t xml:space="preserve">Turkey</t>
  </si>
  <si>
    <t xml:space="preserve">Turqi</t>
  </si>
  <si>
    <t xml:space="preserve">ديك رومي</t>
  </si>
  <si>
    <t xml:space="preserve">Турция</t>
  </si>
  <si>
    <t xml:space="preserve">Turquia</t>
  </si>
  <si>
    <t xml:space="preserve">火鸡</t>
  </si>
  <si>
    <t xml:space="preserve">火雞</t>
  </si>
  <si>
    <t xml:space="preserve">Turska</t>
  </si>
  <si>
    <t xml:space="preserve">Tyrkia</t>
  </si>
  <si>
    <t xml:space="preserve">Turkije</t>
  </si>
  <si>
    <t xml:space="preserve">თურქეთში</t>
  </si>
  <si>
    <t xml:space="preserve">Türkei</t>
  </si>
  <si>
    <t xml:space="preserve">טורקיה</t>
  </si>
  <si>
    <t xml:space="preserve">Törökország</t>
  </si>
  <si>
    <t xml:space="preserve">Turki</t>
  </si>
  <si>
    <t xml:space="preserve">Tyrkland</t>
  </si>
  <si>
    <t xml:space="preserve">la Turchia</t>
  </si>
  <si>
    <t xml:space="preserve">터키</t>
  </si>
  <si>
    <t xml:space="preserve">Turkija</t>
  </si>
  <si>
    <t xml:space="preserve">Турција</t>
  </si>
  <si>
    <t xml:space="preserve">بوقلمون</t>
  </si>
  <si>
    <t xml:space="preserve">Турска</t>
  </si>
  <si>
    <t xml:space="preserve">Turecko</t>
  </si>
  <si>
    <t xml:space="preserve">Turquía</t>
  </si>
  <si>
    <t xml:space="preserve">ตุรกี</t>
  </si>
  <si>
    <t xml:space="preserve">Türkiye</t>
  </si>
  <si>
    <t xml:space="preserve">Туреччина</t>
  </si>
  <si>
    <t xml:space="preserve">ترکی</t>
  </si>
  <si>
    <t xml:space="preserve">Slovakia</t>
  </si>
  <si>
    <t xml:space="preserve">سلوفاكيا</t>
  </si>
  <si>
    <t xml:space="preserve">Սլովակիա</t>
  </si>
  <si>
    <t xml:space="preserve">Slovakiya</t>
  </si>
  <si>
    <t xml:space="preserve">Словакия</t>
  </si>
  <si>
    <t xml:space="preserve">Eslovàquia</t>
  </si>
  <si>
    <t xml:space="preserve">斯洛伐克</t>
  </si>
  <si>
    <t xml:space="preserve">Slovačka</t>
  </si>
  <si>
    <t xml:space="preserve">Slovensko</t>
  </si>
  <si>
    <t xml:space="preserve">Slovakiet</t>
  </si>
  <si>
    <t xml:space="preserve">Slowakije</t>
  </si>
  <si>
    <t xml:space="preserve">Slovaquie</t>
  </si>
  <si>
    <t xml:space="preserve">სლოვაკეთი</t>
  </si>
  <si>
    <t xml:space="preserve">Slowakei</t>
  </si>
  <si>
    <t xml:space="preserve">Σλοβακία</t>
  </si>
  <si>
    <t xml:space="preserve">סלובקיה</t>
  </si>
  <si>
    <t xml:space="preserve">Szlovákia</t>
  </si>
  <si>
    <t xml:space="preserve">Slovacchia</t>
  </si>
  <si>
    <t xml:space="preserve">슬로바키아</t>
  </si>
  <si>
    <t xml:space="preserve">Slovakija</t>
  </si>
  <si>
    <t xml:space="preserve">Словачка</t>
  </si>
  <si>
    <t xml:space="preserve">Slovakkja</t>
  </si>
  <si>
    <t xml:space="preserve">اسلواکی</t>
  </si>
  <si>
    <t xml:space="preserve">Słowacja</t>
  </si>
  <si>
    <t xml:space="preserve">Eslováquia</t>
  </si>
  <si>
    <t xml:space="preserve">Slovacia</t>
  </si>
  <si>
    <t xml:space="preserve">Slovaška</t>
  </si>
  <si>
    <t xml:space="preserve">Eslovaquia</t>
  </si>
  <si>
    <t xml:space="preserve">Slovakien</t>
  </si>
  <si>
    <t xml:space="preserve">สโลวะเกีย</t>
  </si>
  <si>
    <t xml:space="preserve">Slovakya</t>
  </si>
  <si>
    <t xml:space="preserve">Словаччина</t>
  </si>
  <si>
    <t xml:space="preserve">سلوواکیہ</t>
  </si>
  <si>
    <t xml:space="preserve">Germany</t>
  </si>
  <si>
    <t xml:space="preserve">Gjermani</t>
  </si>
  <si>
    <t xml:space="preserve">ألمانيا</t>
  </si>
  <si>
    <t xml:space="preserve">Գերմանիա</t>
  </si>
  <si>
    <t xml:space="preserve">Almaniya</t>
  </si>
  <si>
    <t xml:space="preserve">Германия</t>
  </si>
  <si>
    <t xml:space="preserve">Alemanya</t>
  </si>
  <si>
    <t xml:space="preserve">德国</t>
  </si>
  <si>
    <t xml:space="preserve">德國</t>
  </si>
  <si>
    <t xml:space="preserve">Njemačka</t>
  </si>
  <si>
    <t xml:space="preserve">Německo</t>
  </si>
  <si>
    <t xml:space="preserve">Tyskland</t>
  </si>
  <si>
    <t xml:space="preserve">Duitsland</t>
  </si>
  <si>
    <t xml:space="preserve">Allemagne</t>
  </si>
  <si>
    <t xml:space="preserve">Deutschland</t>
  </si>
  <si>
    <t xml:space="preserve">Γερμανία</t>
  </si>
  <si>
    <t xml:space="preserve">גרמניה</t>
  </si>
  <si>
    <t xml:space="preserve">Németország</t>
  </si>
  <si>
    <t xml:space="preserve">Jerman</t>
  </si>
  <si>
    <t xml:space="preserve">Þýskaland</t>
  </si>
  <si>
    <t xml:space="preserve">Germania</t>
  </si>
  <si>
    <t xml:space="preserve">독일</t>
  </si>
  <si>
    <t xml:space="preserve">Vokietija</t>
  </si>
  <si>
    <t xml:space="preserve">германија</t>
  </si>
  <si>
    <t xml:space="preserve">Ġermanja</t>
  </si>
  <si>
    <t xml:space="preserve">آلمان</t>
  </si>
  <si>
    <t xml:space="preserve">Niemcy</t>
  </si>
  <si>
    <t xml:space="preserve">Alemanha</t>
  </si>
  <si>
    <t xml:space="preserve">Немачка</t>
  </si>
  <si>
    <t xml:space="preserve">nemecko</t>
  </si>
  <si>
    <t xml:space="preserve">Nemčija</t>
  </si>
  <si>
    <t xml:space="preserve">Alemania</t>
  </si>
  <si>
    <t xml:space="preserve">ประเทศเยอรมัน</t>
  </si>
  <si>
    <t xml:space="preserve">Almanya</t>
  </si>
  <si>
    <t xml:space="preserve">Đức</t>
  </si>
  <si>
    <t xml:space="preserve">Німеччина</t>
  </si>
  <si>
    <t xml:space="preserve">جرمنی</t>
  </si>
  <si>
    <t xml:space="preserve">Wales</t>
  </si>
  <si>
    <t xml:space="preserve">Uells</t>
  </si>
  <si>
    <t xml:space="preserve">ويلز</t>
  </si>
  <si>
    <t xml:space="preserve">Уелс</t>
  </si>
  <si>
    <t xml:space="preserve">Gal·les</t>
  </si>
  <si>
    <t xml:space="preserve">威尔士</t>
  </si>
  <si>
    <t xml:space="preserve">威爾士</t>
  </si>
  <si>
    <t xml:space="preserve">Vels</t>
  </si>
  <si>
    <t xml:space="preserve">Pays de Galles</t>
  </si>
  <si>
    <t xml:space="preserve">უელსი</t>
  </si>
  <si>
    <t xml:space="preserve">Ουαλία</t>
  </si>
  <si>
    <t xml:space="preserve">ויילס</t>
  </si>
  <si>
    <t xml:space="preserve">Galles</t>
  </si>
  <si>
    <t xml:space="preserve">웨일즈</t>
  </si>
  <si>
    <t xml:space="preserve">Velsas</t>
  </si>
  <si>
    <t xml:space="preserve">Велс</t>
  </si>
  <si>
    <t xml:space="preserve">wales</t>
  </si>
  <si>
    <t xml:space="preserve">ولز</t>
  </si>
  <si>
    <t xml:space="preserve">Walia</t>
  </si>
  <si>
    <t xml:space="preserve">país de Gales</t>
  </si>
  <si>
    <t xml:space="preserve">Țara Galilor</t>
  </si>
  <si>
    <t xml:space="preserve">Уэльс</t>
  </si>
  <si>
    <t xml:space="preserve">Gales</t>
  </si>
  <si>
    <t xml:space="preserve">เวลส์</t>
  </si>
  <si>
    <t xml:space="preserve">Galler</t>
  </si>
  <si>
    <t xml:space="preserve">xứ Wales</t>
  </si>
  <si>
    <t xml:space="preserve">Уельс</t>
  </si>
  <si>
    <t xml:space="preserve">ویلز</t>
  </si>
  <si>
    <t xml:space="preserve">Croatia</t>
  </si>
  <si>
    <t xml:space="preserve">Kroacia</t>
  </si>
  <si>
    <t xml:space="preserve">كرواتيا</t>
  </si>
  <si>
    <t xml:space="preserve">Խորվաթիա</t>
  </si>
  <si>
    <t xml:space="preserve">Xorvatiya</t>
  </si>
  <si>
    <t xml:space="preserve">Хърватия</t>
  </si>
  <si>
    <t xml:space="preserve">Croàcia</t>
  </si>
  <si>
    <t xml:space="preserve">克罗地亚</t>
  </si>
  <si>
    <t xml:space="preserve">克羅地亞</t>
  </si>
  <si>
    <t xml:space="preserve">Hrvatska</t>
  </si>
  <si>
    <t xml:space="preserve">Chorvatsko</t>
  </si>
  <si>
    <t xml:space="preserve">Kroatien</t>
  </si>
  <si>
    <t xml:space="preserve">Kroatië</t>
  </si>
  <si>
    <t xml:space="preserve">Croatie</t>
  </si>
  <si>
    <t xml:space="preserve">ხორვატია</t>
  </si>
  <si>
    <t xml:space="preserve">Κροατία</t>
  </si>
  <si>
    <t xml:space="preserve">קרואטיה</t>
  </si>
  <si>
    <t xml:space="preserve">Horvátország</t>
  </si>
  <si>
    <t xml:space="preserve">Kroasia</t>
  </si>
  <si>
    <t xml:space="preserve">Croazia</t>
  </si>
  <si>
    <t xml:space="preserve">크로아티아</t>
  </si>
  <si>
    <t xml:space="preserve">Kroatija</t>
  </si>
  <si>
    <t xml:space="preserve">хрватска</t>
  </si>
  <si>
    <t xml:space="preserve">Kroazja</t>
  </si>
  <si>
    <t xml:space="preserve">Kroatia</t>
  </si>
  <si>
    <t xml:space="preserve">کرواسی</t>
  </si>
  <si>
    <t xml:space="preserve">Chorwacja</t>
  </si>
  <si>
    <t xml:space="preserve">Croácia</t>
  </si>
  <si>
    <t xml:space="preserve">Croația</t>
  </si>
  <si>
    <t xml:space="preserve">Хорватия</t>
  </si>
  <si>
    <t xml:space="preserve">Хрватска</t>
  </si>
  <si>
    <t xml:space="preserve">chorvátsko</t>
  </si>
  <si>
    <t xml:space="preserve">Hrvaška</t>
  </si>
  <si>
    <t xml:space="preserve">Croacia</t>
  </si>
  <si>
    <t xml:space="preserve">โครเอเชีย</t>
  </si>
  <si>
    <t xml:space="preserve">Hırvatistan</t>
  </si>
  <si>
    <t xml:space="preserve">Хорватія</t>
  </si>
  <si>
    <t xml:space="preserve">کروشیا</t>
  </si>
  <si>
    <t xml:space="preserve">Northern Ireland</t>
  </si>
  <si>
    <t xml:space="preserve">Irlanada veriore</t>
  </si>
  <si>
    <t xml:space="preserve">إيرلندا الشمالية</t>
  </si>
  <si>
    <t xml:space="preserve">Հյուսիսային Իռլանդիա</t>
  </si>
  <si>
    <t xml:space="preserve">Şimali irlandiya</t>
  </si>
  <si>
    <t xml:space="preserve">Северна Ирландия</t>
  </si>
  <si>
    <t xml:space="preserve">Irlanda del Nord</t>
  </si>
  <si>
    <t xml:space="preserve">北爱尔兰</t>
  </si>
  <si>
    <t xml:space="preserve">北愛爾蘭</t>
  </si>
  <si>
    <t xml:space="preserve">Sjeverna Irska</t>
  </si>
  <si>
    <t xml:space="preserve">Severní Irsko</t>
  </si>
  <si>
    <t xml:space="preserve">Nordirland</t>
  </si>
  <si>
    <t xml:space="preserve">Noord-Ierland</t>
  </si>
  <si>
    <t xml:space="preserve">Irlande du nord</t>
  </si>
  <si>
    <t xml:space="preserve">ჩრდილოეთ ირლანდია</t>
  </si>
  <si>
    <t xml:space="preserve">Βόρεια Ιρλανδία</t>
  </si>
  <si>
    <t xml:space="preserve">אירלנד הצפונית</t>
  </si>
  <si>
    <t xml:space="preserve">Észak-Írország</t>
  </si>
  <si>
    <t xml:space="preserve">Irlandia Utara</t>
  </si>
  <si>
    <t xml:space="preserve">Norður Írland</t>
  </si>
  <si>
    <t xml:space="preserve">Irlanda del nord</t>
  </si>
  <si>
    <t xml:space="preserve">북 아일랜드</t>
  </si>
  <si>
    <t xml:space="preserve">Šiaurės Airija</t>
  </si>
  <si>
    <t xml:space="preserve">Северна Ирска</t>
  </si>
  <si>
    <t xml:space="preserve">Irlanda ta 'Fuq</t>
  </si>
  <si>
    <t xml:space="preserve">Nord-Irland</t>
  </si>
  <si>
    <t xml:space="preserve">ایرلند شمالی</t>
  </si>
  <si>
    <t xml:space="preserve">Irlandia Północna</t>
  </si>
  <si>
    <t xml:space="preserve">Irlanda do Norte</t>
  </si>
  <si>
    <t xml:space="preserve">Irlanda de Nord</t>
  </si>
  <si>
    <t xml:space="preserve">Северная Ирландия</t>
  </si>
  <si>
    <t xml:space="preserve">Severné Írsko</t>
  </si>
  <si>
    <t xml:space="preserve">Severna Irska</t>
  </si>
  <si>
    <t xml:space="preserve">Irlanda del Norte</t>
  </si>
  <si>
    <t xml:space="preserve">Norra Irland</t>
  </si>
  <si>
    <t xml:space="preserve">ไอร์แลนด์เหนือ</t>
  </si>
  <si>
    <t xml:space="preserve">Kuzey Irlanda</t>
  </si>
  <si>
    <t xml:space="preserve">Bắc Ireland</t>
  </si>
  <si>
    <t xml:space="preserve">Північна Ірландія</t>
  </si>
  <si>
    <t xml:space="preserve">شمالی آئر لینڈ</t>
  </si>
  <si>
    <t xml:space="preserve">Switzerland</t>
  </si>
  <si>
    <t xml:space="preserve">Zvicër</t>
  </si>
  <si>
    <t xml:space="preserve">سويسرا</t>
  </si>
  <si>
    <t xml:space="preserve">Շվեյցարիա</t>
  </si>
  <si>
    <t xml:space="preserve">İsveçrə</t>
  </si>
  <si>
    <t xml:space="preserve">Швейцария</t>
  </si>
  <si>
    <t xml:space="preserve">Suïssa</t>
  </si>
  <si>
    <t xml:space="preserve">瑞士</t>
  </si>
  <si>
    <t xml:space="preserve">Švajcarska</t>
  </si>
  <si>
    <t xml:space="preserve">Švýcarsko</t>
  </si>
  <si>
    <t xml:space="preserve">Schweiz</t>
  </si>
  <si>
    <t xml:space="preserve">Zwitserland</t>
  </si>
  <si>
    <t xml:space="preserve">Suisse</t>
  </si>
  <si>
    <t xml:space="preserve">Ελβετία</t>
  </si>
  <si>
    <t xml:space="preserve">שוויץ</t>
  </si>
  <si>
    <t xml:space="preserve">Svájc</t>
  </si>
  <si>
    <t xml:space="preserve">Swiss</t>
  </si>
  <si>
    <t xml:space="preserve">Sviss</t>
  </si>
  <si>
    <t xml:space="preserve">Svizzera</t>
  </si>
  <si>
    <t xml:space="preserve">스위스</t>
  </si>
  <si>
    <t xml:space="preserve">Šveicarija</t>
  </si>
  <si>
    <t xml:space="preserve">Швајцарија</t>
  </si>
  <si>
    <t xml:space="preserve">Isvizzera</t>
  </si>
  <si>
    <t xml:space="preserve">Sveits</t>
  </si>
  <si>
    <t xml:space="preserve">سویس</t>
  </si>
  <si>
    <t xml:space="preserve">Szwajcaria</t>
  </si>
  <si>
    <t xml:space="preserve">Suíça</t>
  </si>
  <si>
    <t xml:space="preserve">Elveția</t>
  </si>
  <si>
    <t xml:space="preserve">Швајцарска</t>
  </si>
  <si>
    <t xml:space="preserve">švajčiarsko</t>
  </si>
  <si>
    <t xml:space="preserve">Švica</t>
  </si>
  <si>
    <t xml:space="preserve">Suiza</t>
  </si>
  <si>
    <t xml:space="preserve">ประเทศสวิสเซอร์แลนด์</t>
  </si>
  <si>
    <t xml:space="preserve">İsviçre</t>
  </si>
  <si>
    <t xml:space="preserve">Thụy Sĩ</t>
  </si>
  <si>
    <t xml:space="preserve">Швейцарія</t>
  </si>
  <si>
    <t xml:space="preserve">سوئٹزرلینڈ</t>
  </si>
  <si>
    <t xml:space="preserve">Czech Republic</t>
  </si>
  <si>
    <t xml:space="preserve">Republika Çeke</t>
  </si>
  <si>
    <t xml:space="preserve">جمهورية التشيك</t>
  </si>
  <si>
    <t xml:space="preserve">Չեխիայի Հանրապետություն</t>
  </si>
  <si>
    <t xml:space="preserve">Çexiya Respublikası</t>
  </si>
  <si>
    <t xml:space="preserve">Чехия</t>
  </si>
  <si>
    <t xml:space="preserve">República Txeca</t>
  </si>
  <si>
    <t xml:space="preserve">捷克共和国</t>
  </si>
  <si>
    <t xml:space="preserve">捷克共和國</t>
  </si>
  <si>
    <t xml:space="preserve">Češka Republika</t>
  </si>
  <si>
    <t xml:space="preserve">Česká republika</t>
  </si>
  <si>
    <t xml:space="preserve">Tjekkiet</t>
  </si>
  <si>
    <t xml:space="preserve">Tsjechische Republiek</t>
  </si>
  <si>
    <t xml:space="preserve">République Tchèque</t>
  </si>
  <si>
    <t xml:space="preserve">ჩეხეთის რესპუბლიკა</t>
  </si>
  <si>
    <t xml:space="preserve">Tschechien</t>
  </si>
  <si>
    <t xml:space="preserve">Τσεχική Δημοκρατία</t>
  </si>
  <si>
    <t xml:space="preserve">הרפובליקה הצ'כית</t>
  </si>
  <si>
    <t xml:space="preserve">Cseh Köztársaság</t>
  </si>
  <si>
    <t xml:space="preserve">Republik Ceko</t>
  </si>
  <si>
    <t xml:space="preserve">Tékkland</t>
  </si>
  <si>
    <t xml:space="preserve">Repubblica Ceca</t>
  </si>
  <si>
    <t xml:space="preserve">체코 공화국</t>
  </si>
  <si>
    <t xml:space="preserve">Čekijos Respublika</t>
  </si>
  <si>
    <t xml:space="preserve">Република Чешка</t>
  </si>
  <si>
    <t xml:space="preserve">Repubblika Ċeka</t>
  </si>
  <si>
    <t xml:space="preserve">Tsjekkisk Republikk</t>
  </si>
  <si>
    <t xml:space="preserve">جمهوری چک</t>
  </si>
  <si>
    <t xml:space="preserve">Republika Czeska</t>
  </si>
  <si>
    <t xml:space="preserve">República Checa</t>
  </si>
  <si>
    <t xml:space="preserve">Republica Cehă</t>
  </si>
  <si>
    <t xml:space="preserve">Чешская Республика</t>
  </si>
  <si>
    <t xml:space="preserve">Чешка</t>
  </si>
  <si>
    <t xml:space="preserve">Češka</t>
  </si>
  <si>
    <t xml:space="preserve">Tjeckien</t>
  </si>
  <si>
    <t xml:space="preserve">สาธารณรัฐเช็ก</t>
  </si>
  <si>
    <t xml:space="preserve">Çek Cumhuriyeti</t>
  </si>
  <si>
    <t xml:space="preserve">Cộng hòa Séc</t>
  </si>
  <si>
    <t xml:space="preserve">Чеська Республіка</t>
  </si>
  <si>
    <t xml:space="preserve">جمہوریہ چیک</t>
  </si>
  <si>
    <t xml:space="preserve">Republic of Ireland</t>
  </si>
  <si>
    <t xml:space="preserve">Republika e Irlandës</t>
  </si>
  <si>
    <t xml:space="preserve">جمهورية ايرلندا</t>
  </si>
  <si>
    <t xml:space="preserve">Իռլանդիա</t>
  </si>
  <si>
    <t xml:space="preserve">İrlandiya Respublikası</t>
  </si>
  <si>
    <t xml:space="preserve">Република Ирландия</t>
  </si>
  <si>
    <t xml:space="preserve">República d'Irlanda</t>
  </si>
  <si>
    <t xml:space="preserve">爱尔兰</t>
  </si>
  <si>
    <t xml:space="preserve">愛爾蘭</t>
  </si>
  <si>
    <t xml:space="preserve">Republika Irska</t>
  </si>
  <si>
    <t xml:space="preserve">Irská republika</t>
  </si>
  <si>
    <t xml:space="preserve">Irland</t>
  </si>
  <si>
    <t xml:space="preserve">republiek Ierland</t>
  </si>
  <si>
    <t xml:space="preserve">République d'Irlande</t>
  </si>
  <si>
    <t xml:space="preserve">ირლანდიის რესპუბლიკა</t>
  </si>
  <si>
    <t xml:space="preserve">Irische Republik</t>
  </si>
  <si>
    <t xml:space="preserve">Δημοκρατία της Ιρλανδίας</t>
  </si>
  <si>
    <t xml:space="preserve">רפובליקת אירלנד</t>
  </si>
  <si>
    <t xml:space="preserve">Ír Köztársaság</t>
  </si>
  <si>
    <t xml:space="preserve">Republik Irlandia</t>
  </si>
  <si>
    <t xml:space="preserve">Írland</t>
  </si>
  <si>
    <t xml:space="preserve">repubblica d'Irlanda</t>
  </si>
  <si>
    <t xml:space="preserve">아일랜드</t>
  </si>
  <si>
    <t xml:space="preserve">Airijos Respublika</t>
  </si>
  <si>
    <t xml:space="preserve">Република Ирска</t>
  </si>
  <si>
    <t xml:space="preserve">Repubblika tal-Irlanda</t>
  </si>
  <si>
    <t xml:space="preserve">Republikken Irland</t>
  </si>
  <si>
    <t xml:space="preserve">جمهوری ایرلند</t>
  </si>
  <si>
    <t xml:space="preserve">Republika Irlandii</t>
  </si>
  <si>
    <t xml:space="preserve">República da Irlanda</t>
  </si>
  <si>
    <t xml:space="preserve">Republica Irlanda</t>
  </si>
  <si>
    <t xml:space="preserve">Ирландская республика</t>
  </si>
  <si>
    <t xml:space="preserve">Írsko</t>
  </si>
  <si>
    <t xml:space="preserve">Republica de Irlanda</t>
  </si>
  <si>
    <t xml:space="preserve">republiken Irland</t>
  </si>
  <si>
    <t xml:space="preserve">สาธารณรัฐไอร์แลนด์</t>
  </si>
  <si>
    <t xml:space="preserve">irlanda Cumhuriyeti</t>
  </si>
  <si>
    <t xml:space="preserve">Cộng hòa Ireland</t>
  </si>
  <si>
    <t xml:space="preserve">Ірландія</t>
  </si>
  <si>
    <t xml:space="preserve">جمہوریہ آئرلینڈ</t>
  </si>
  <si>
    <t xml:space="preserve">Iceland</t>
  </si>
  <si>
    <t xml:space="preserve">Islandë</t>
  </si>
  <si>
    <t xml:space="preserve">أيسلندا</t>
  </si>
  <si>
    <t xml:space="preserve">Իսլանդիան</t>
  </si>
  <si>
    <t xml:space="preserve">İslandiya</t>
  </si>
  <si>
    <t xml:space="preserve">Исландия</t>
  </si>
  <si>
    <t xml:space="preserve">Islàndia</t>
  </si>
  <si>
    <t xml:space="preserve">冰岛</t>
  </si>
  <si>
    <t xml:space="preserve">冰島</t>
  </si>
  <si>
    <t xml:space="preserve">Island</t>
  </si>
  <si>
    <t xml:space="preserve">IJsland</t>
  </si>
  <si>
    <t xml:space="preserve">Islande</t>
  </si>
  <si>
    <t xml:space="preserve">ისლანდიის</t>
  </si>
  <si>
    <t xml:space="preserve">Ισλανδία</t>
  </si>
  <si>
    <t xml:space="preserve">אִיסלַנד</t>
  </si>
  <si>
    <t xml:space="preserve">Izland</t>
  </si>
  <si>
    <t xml:space="preserve">Islandia</t>
  </si>
  <si>
    <t xml:space="preserve">Ísland</t>
  </si>
  <si>
    <t xml:space="preserve">Islanda</t>
  </si>
  <si>
    <t xml:space="preserve">아이슬란드</t>
  </si>
  <si>
    <t xml:space="preserve">Islandija</t>
  </si>
  <si>
    <t xml:space="preserve">Исланд</t>
  </si>
  <si>
    <t xml:space="preserve">ایسلند</t>
  </si>
  <si>
    <t xml:space="preserve">Islândia</t>
  </si>
  <si>
    <t xml:space="preserve">island</t>
  </si>
  <si>
    <t xml:space="preserve">ประเทศไอซ์แลนด์</t>
  </si>
  <si>
    <t xml:space="preserve">İzlanda</t>
  </si>
  <si>
    <t xml:space="preserve">Ісландія</t>
  </si>
  <si>
    <t xml:space="preserve">آئس لینڈ</t>
  </si>
  <si>
    <t xml:space="preserve">Austria</t>
  </si>
  <si>
    <t xml:space="preserve">Austri</t>
  </si>
  <si>
    <t xml:space="preserve">النمسا</t>
  </si>
  <si>
    <t xml:space="preserve">austria</t>
  </si>
  <si>
    <t xml:space="preserve">Avstriya</t>
  </si>
  <si>
    <t xml:space="preserve">Австрия</t>
  </si>
  <si>
    <t xml:space="preserve">Àustria</t>
  </si>
  <si>
    <t xml:space="preserve">奥地利</t>
  </si>
  <si>
    <t xml:space="preserve">奧地利</t>
  </si>
  <si>
    <t xml:space="preserve">Austrija</t>
  </si>
  <si>
    <t xml:space="preserve">Rakousko</t>
  </si>
  <si>
    <t xml:space="preserve">Østrig</t>
  </si>
  <si>
    <t xml:space="preserve">Oostenrijk</t>
  </si>
  <si>
    <t xml:space="preserve">Autriche</t>
  </si>
  <si>
    <t xml:space="preserve">ავსტრიაში</t>
  </si>
  <si>
    <t xml:space="preserve">Österreich</t>
  </si>
  <si>
    <t xml:space="preserve">Αυστρία</t>
  </si>
  <si>
    <t xml:space="preserve">אוֹסְטְרֵיָה</t>
  </si>
  <si>
    <t xml:space="preserve">Ausztria</t>
  </si>
  <si>
    <t xml:space="preserve">Austurríki</t>
  </si>
  <si>
    <t xml:space="preserve">오스트리아</t>
  </si>
  <si>
    <t xml:space="preserve">Австрија</t>
  </si>
  <si>
    <t xml:space="preserve">awstrija</t>
  </si>
  <si>
    <t xml:space="preserve">Østerrike</t>
  </si>
  <si>
    <t xml:space="preserve">اتریش</t>
  </si>
  <si>
    <t xml:space="preserve">Áustria</t>
  </si>
  <si>
    <t xml:space="preserve">Аустрија</t>
  </si>
  <si>
    <t xml:space="preserve">Rakúsko</t>
  </si>
  <si>
    <t xml:space="preserve">Avstrija</t>
  </si>
  <si>
    <t xml:space="preserve">österrike</t>
  </si>
  <si>
    <t xml:space="preserve">ออสเตรีย</t>
  </si>
  <si>
    <t xml:space="preserve">Avusturya</t>
  </si>
  <si>
    <t xml:space="preserve">Áo</t>
  </si>
  <si>
    <t xml:space="preserve">Австрія</t>
  </si>
  <si>
    <t xml:space="preserve">آسٹریا</t>
  </si>
  <si>
    <t xml:space="preserve">France</t>
  </si>
  <si>
    <t xml:space="preserve">Francë</t>
  </si>
  <si>
    <t xml:space="preserve">فرنسا</t>
  </si>
  <si>
    <t xml:space="preserve">Fransa</t>
  </si>
  <si>
    <t xml:space="preserve">Франция</t>
  </si>
  <si>
    <t xml:space="preserve">França</t>
  </si>
  <si>
    <t xml:space="preserve">法国</t>
  </si>
  <si>
    <t xml:space="preserve">法國</t>
  </si>
  <si>
    <t xml:space="preserve">Francuska</t>
  </si>
  <si>
    <t xml:space="preserve">Francie</t>
  </si>
  <si>
    <t xml:space="preserve">Frankrig</t>
  </si>
  <si>
    <t xml:space="preserve">Frankrijk</t>
  </si>
  <si>
    <t xml:space="preserve">Frankreich</t>
  </si>
  <si>
    <t xml:space="preserve">Γαλλία</t>
  </si>
  <si>
    <t xml:space="preserve">צרפת</t>
  </si>
  <si>
    <t xml:space="preserve">Franciaország</t>
  </si>
  <si>
    <t xml:space="preserve">Perancis</t>
  </si>
  <si>
    <t xml:space="preserve">Francia</t>
  </si>
  <si>
    <t xml:space="preserve">프랑스</t>
  </si>
  <si>
    <t xml:space="preserve">Prancūzija</t>
  </si>
  <si>
    <t xml:space="preserve">Франција</t>
  </si>
  <si>
    <t xml:space="preserve">Franza</t>
  </si>
  <si>
    <t xml:space="preserve">Frankrike</t>
  </si>
  <si>
    <t xml:space="preserve">فرانسه</t>
  </si>
  <si>
    <t xml:space="preserve">Francja</t>
  </si>
  <si>
    <t xml:space="preserve">Franța</t>
  </si>
  <si>
    <t xml:space="preserve">Француска</t>
  </si>
  <si>
    <t xml:space="preserve">francúzsko</t>
  </si>
  <si>
    <t xml:space="preserve">ฝรั่งเศส</t>
  </si>
  <si>
    <t xml:space="preserve">Pháp</t>
  </si>
  <si>
    <t xml:space="preserve">Франція</t>
  </si>
  <si>
    <t xml:space="preserve">فرانس</t>
  </si>
  <si>
    <t xml:space="preserve">Poland</t>
  </si>
  <si>
    <t xml:space="preserve">Poloni</t>
  </si>
  <si>
    <t xml:space="preserve">بولندا</t>
  </si>
  <si>
    <t xml:space="preserve">poland</t>
  </si>
  <si>
    <t xml:space="preserve">Polşa</t>
  </si>
  <si>
    <t xml:space="preserve">Полша</t>
  </si>
  <si>
    <t xml:space="preserve">Polònia</t>
  </si>
  <si>
    <t xml:space="preserve">波兰</t>
  </si>
  <si>
    <t xml:space="preserve">波蘭</t>
  </si>
  <si>
    <t xml:space="preserve">Poljska</t>
  </si>
  <si>
    <t xml:space="preserve">Polsko</t>
  </si>
  <si>
    <t xml:space="preserve">Polen</t>
  </si>
  <si>
    <t xml:space="preserve">Pologne</t>
  </si>
  <si>
    <t xml:space="preserve">პოლონეთი</t>
  </si>
  <si>
    <t xml:space="preserve">Πολωνία</t>
  </si>
  <si>
    <t xml:space="preserve">פולין</t>
  </si>
  <si>
    <t xml:space="preserve">Lengyelország</t>
  </si>
  <si>
    <t xml:space="preserve">Polandia</t>
  </si>
  <si>
    <t xml:space="preserve">Polonia</t>
  </si>
  <si>
    <t xml:space="preserve">폴란드</t>
  </si>
  <si>
    <t xml:space="preserve">Lenkija</t>
  </si>
  <si>
    <t xml:space="preserve">Полска</t>
  </si>
  <si>
    <t xml:space="preserve">Il-Polonja</t>
  </si>
  <si>
    <t xml:space="preserve">لهستان</t>
  </si>
  <si>
    <t xml:space="preserve">Polska</t>
  </si>
  <si>
    <t xml:space="preserve">Polônia</t>
  </si>
  <si>
    <t xml:space="preserve">Польша</t>
  </si>
  <si>
    <t xml:space="preserve">Пољска</t>
  </si>
  <si>
    <t xml:space="preserve">Poľsko</t>
  </si>
  <si>
    <t xml:space="preserve">polen</t>
  </si>
  <si>
    <t xml:space="preserve">โปแลนด์</t>
  </si>
  <si>
    <t xml:space="preserve">Polonya</t>
  </si>
  <si>
    <t xml:space="preserve">Ba Lan</t>
  </si>
  <si>
    <t xml:space="preserve">Польща</t>
  </si>
  <si>
    <t xml:space="preserve">پولینڈ</t>
  </si>
  <si>
    <t xml:space="preserve">England</t>
  </si>
  <si>
    <t xml:space="preserve">Angli</t>
  </si>
  <si>
    <t xml:space="preserve">انجلترا</t>
  </si>
  <si>
    <t xml:space="preserve">Անգլիա</t>
  </si>
  <si>
    <t xml:space="preserve">İngiltərə</t>
  </si>
  <si>
    <t xml:space="preserve">Англия</t>
  </si>
  <si>
    <t xml:space="preserve">Anglaterra</t>
  </si>
  <si>
    <t xml:space="preserve">英国</t>
  </si>
  <si>
    <t xml:space="preserve">英國</t>
  </si>
  <si>
    <t xml:space="preserve">Engleska</t>
  </si>
  <si>
    <t xml:space="preserve">Anglie</t>
  </si>
  <si>
    <t xml:space="preserve">Engeland</t>
  </si>
  <si>
    <t xml:space="preserve">Angleterre</t>
  </si>
  <si>
    <t xml:space="preserve">Αγγλία</t>
  </si>
  <si>
    <t xml:space="preserve">אנגליה</t>
  </si>
  <si>
    <t xml:space="preserve">Anglia</t>
  </si>
  <si>
    <t xml:space="preserve">Inggris</t>
  </si>
  <si>
    <t xml:space="preserve">Inghilterra</t>
  </si>
  <si>
    <t xml:space="preserve">영국</t>
  </si>
  <si>
    <t xml:space="preserve">Anglija</t>
  </si>
  <si>
    <t xml:space="preserve">Англија</t>
  </si>
  <si>
    <t xml:space="preserve">Ingilterra</t>
  </si>
  <si>
    <t xml:space="preserve">انگلستان</t>
  </si>
  <si>
    <t xml:space="preserve">Inglaterra</t>
  </si>
  <si>
    <t xml:space="preserve">Енглеска</t>
  </si>
  <si>
    <t xml:space="preserve">Anglicko</t>
  </si>
  <si>
    <t xml:space="preserve">อังกฤษ</t>
  </si>
  <si>
    <t xml:space="preserve">İngiltere</t>
  </si>
  <si>
    <t xml:space="preserve">Anh</t>
  </si>
  <si>
    <t xml:space="preserve">Англія</t>
  </si>
  <si>
    <t xml:space="preserve">انگلینڈ</t>
  </si>
  <si>
    <t xml:space="preserve">Belgium</t>
  </si>
  <si>
    <t xml:space="preserve">Belgjikë</t>
  </si>
  <si>
    <t xml:space="preserve">بلجيكا</t>
  </si>
  <si>
    <t xml:space="preserve">Բելգիա</t>
  </si>
  <si>
    <t xml:space="preserve">Belçika</t>
  </si>
  <si>
    <t xml:space="preserve">Белгия</t>
  </si>
  <si>
    <t xml:space="preserve">Bèlgica</t>
  </si>
  <si>
    <t xml:space="preserve">比利时</t>
  </si>
  <si>
    <t xml:space="preserve">比利時</t>
  </si>
  <si>
    <t xml:space="preserve">Belgija</t>
  </si>
  <si>
    <t xml:space="preserve">Belgie</t>
  </si>
  <si>
    <t xml:space="preserve">Belgien</t>
  </si>
  <si>
    <t xml:space="preserve">België</t>
  </si>
  <si>
    <t xml:space="preserve">Belgique</t>
  </si>
  <si>
    <t xml:space="preserve">ბელგიის</t>
  </si>
  <si>
    <t xml:space="preserve">Βέλγιο</t>
  </si>
  <si>
    <t xml:space="preserve">בלגיה</t>
  </si>
  <si>
    <t xml:space="preserve">Belgia</t>
  </si>
  <si>
    <t xml:space="preserve">Belgio</t>
  </si>
  <si>
    <t xml:space="preserve">벨기에</t>
  </si>
  <si>
    <t xml:space="preserve">белгија</t>
  </si>
  <si>
    <t xml:space="preserve">Il-Belġju</t>
  </si>
  <si>
    <t xml:space="preserve">بلژیک</t>
  </si>
  <si>
    <t xml:space="preserve">Bélgica</t>
  </si>
  <si>
    <t xml:space="preserve">Бельгия</t>
  </si>
  <si>
    <t xml:space="preserve">Белгија</t>
  </si>
  <si>
    <t xml:space="preserve">belgicko</t>
  </si>
  <si>
    <t xml:space="preserve">เบลเยี่ยม</t>
  </si>
  <si>
    <t xml:space="preserve">Bỉ</t>
  </si>
  <si>
    <t xml:space="preserve">Бельгія</t>
  </si>
  <si>
    <t xml:space="preserve">بیلجئیم</t>
  </si>
  <si>
    <t xml:space="preserve">Sweden</t>
  </si>
  <si>
    <t xml:space="preserve">Suedi</t>
  </si>
  <si>
    <t xml:space="preserve">السويد</t>
  </si>
  <si>
    <t xml:space="preserve">sweden</t>
  </si>
  <si>
    <t xml:space="preserve">İsveç</t>
  </si>
  <si>
    <t xml:space="preserve">Швеция</t>
  </si>
  <si>
    <t xml:space="preserve">Suècia</t>
  </si>
  <si>
    <t xml:space="preserve">瑞典</t>
  </si>
  <si>
    <t xml:space="preserve">Švedska</t>
  </si>
  <si>
    <t xml:space="preserve">Švédsko</t>
  </si>
  <si>
    <t xml:space="preserve">Sverige</t>
  </si>
  <si>
    <t xml:space="preserve">Zweden</t>
  </si>
  <si>
    <t xml:space="preserve">Suède</t>
  </si>
  <si>
    <t xml:space="preserve">შვედეთი</t>
  </si>
  <si>
    <t xml:space="preserve">Schweden</t>
  </si>
  <si>
    <t xml:space="preserve">Σουηδία</t>
  </si>
  <si>
    <t xml:space="preserve">שוודיה</t>
  </si>
  <si>
    <t xml:space="preserve">Svédország</t>
  </si>
  <si>
    <t xml:space="preserve">Swedia</t>
  </si>
  <si>
    <t xml:space="preserve">Svíþjóð</t>
  </si>
  <si>
    <t xml:space="preserve">Svezia</t>
  </si>
  <si>
    <t xml:space="preserve">스웨덴</t>
  </si>
  <si>
    <t xml:space="preserve">Švedija</t>
  </si>
  <si>
    <t xml:space="preserve">Шведска</t>
  </si>
  <si>
    <t xml:space="preserve">l-Isvezja</t>
  </si>
  <si>
    <t xml:space="preserve">سوئد</t>
  </si>
  <si>
    <t xml:space="preserve">Szwecja</t>
  </si>
  <si>
    <t xml:space="preserve">Suécia</t>
  </si>
  <si>
    <t xml:space="preserve">Suedia</t>
  </si>
  <si>
    <t xml:space="preserve">Suecia</t>
  </si>
  <si>
    <t xml:space="preserve">sverige</t>
  </si>
  <si>
    <t xml:space="preserve">สวีเดน</t>
  </si>
  <si>
    <t xml:space="preserve">Thụy Điển</t>
  </si>
  <si>
    <t xml:space="preserve">Швеція</t>
  </si>
  <si>
    <t xml:space="preserve">سویڈن</t>
  </si>
  <si>
    <t xml:space="preserve">Russia</t>
  </si>
  <si>
    <t xml:space="preserve">Rusi</t>
  </si>
  <si>
    <t xml:space="preserve">روسيا</t>
  </si>
  <si>
    <t xml:space="preserve">Ռուսաստան</t>
  </si>
  <si>
    <t xml:space="preserve">Rusiya</t>
  </si>
  <si>
    <t xml:space="preserve">Русия</t>
  </si>
  <si>
    <t xml:space="preserve">Rússia</t>
  </si>
  <si>
    <t xml:space="preserve">俄国</t>
  </si>
  <si>
    <t xml:space="preserve">俄國</t>
  </si>
  <si>
    <t xml:space="preserve">Rusija</t>
  </si>
  <si>
    <t xml:space="preserve">Rusko</t>
  </si>
  <si>
    <t xml:space="preserve">Rusland</t>
  </si>
  <si>
    <t xml:space="preserve">Russie</t>
  </si>
  <si>
    <t xml:space="preserve">რუსეთის</t>
  </si>
  <si>
    <t xml:space="preserve">Russland</t>
  </si>
  <si>
    <t xml:space="preserve">Ρωσία</t>
  </si>
  <si>
    <t xml:space="preserve">רוסיה</t>
  </si>
  <si>
    <t xml:space="preserve">Oroszország</t>
  </si>
  <si>
    <t xml:space="preserve">Rusia</t>
  </si>
  <si>
    <t xml:space="preserve">russia</t>
  </si>
  <si>
    <t xml:space="preserve">러시아</t>
  </si>
  <si>
    <t xml:space="preserve">Русија</t>
  </si>
  <si>
    <t xml:space="preserve">Russja</t>
  </si>
  <si>
    <t xml:space="preserve">روسیه،</t>
  </si>
  <si>
    <t xml:space="preserve">Rosja</t>
  </si>
  <si>
    <t xml:space="preserve">Россия</t>
  </si>
  <si>
    <t xml:space="preserve">rusko</t>
  </si>
  <si>
    <t xml:space="preserve">Ryssland</t>
  </si>
  <si>
    <t xml:space="preserve">ประเทศรัสเซีย</t>
  </si>
  <si>
    <t xml:space="preserve">Rusya</t>
  </si>
  <si>
    <t xml:space="preserve">Nga</t>
  </si>
  <si>
    <t xml:space="preserve">Росія</t>
  </si>
  <si>
    <t xml:space="preserve">روس</t>
  </si>
  <si>
    <t xml:space="preserve">1A</t>
  </si>
  <si>
    <t xml:space="preserve">A1</t>
  </si>
  <si>
    <r>
      <rPr>
        <sz val="10"/>
        <rFont val="Calibri"/>
        <family val="2"/>
        <charset val="204"/>
      </rPr>
      <t>A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</si>
  <si>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اول گروه A</t>
  </si>
  <si>
    <t xml:space="preserve">ที่ 1 สาย A</t>
  </si>
  <si>
    <t xml:space="preserve">۱الف</t>
  </si>
  <si>
    <t xml:space="preserve">2A</t>
  </si>
  <si>
    <t xml:space="preserve">A2</t>
  </si>
  <si>
    <r>
      <rPr>
        <sz val="10"/>
        <rFont val="Calibri"/>
        <family val="2"/>
        <charset val="204"/>
      </rPr>
      <t>A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</si>
  <si>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 A</t>
  </si>
  <si>
    <t xml:space="preserve">ที่ 2 สาย A</t>
  </si>
  <si>
    <t xml:space="preserve">۲الف</t>
  </si>
  <si>
    <t xml:space="preserve">1B</t>
  </si>
  <si>
    <t xml:space="preserve">B1</t>
  </si>
  <si>
    <r>
      <rPr>
        <sz val="10"/>
        <rFont val="Calibri"/>
        <family val="2"/>
        <charset val="204"/>
      </rPr>
      <t>B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</si>
  <si>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اول گروه B</t>
  </si>
  <si>
    <t xml:space="preserve">ที่ 1 สาย B</t>
  </si>
  <si>
    <t xml:space="preserve">۱ب</t>
  </si>
  <si>
    <t xml:space="preserve">2B</t>
  </si>
  <si>
    <t xml:space="preserve">B2</t>
  </si>
  <si>
    <r>
      <rPr>
        <sz val="10"/>
        <rFont val="Calibri"/>
        <family val="2"/>
        <charset val="204"/>
      </rPr>
      <t>B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</si>
  <si>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گروهB</t>
  </si>
  <si>
    <t xml:space="preserve">ที่ 2 สาย B</t>
  </si>
  <si>
    <t xml:space="preserve">۲ب</t>
  </si>
  <si>
    <t xml:space="preserve">1C</t>
  </si>
  <si>
    <t xml:space="preserve">C1</t>
  </si>
  <si>
    <t xml:space="preserve">1Γ</t>
  </si>
  <si>
    <r>
      <rPr>
        <sz val="10"/>
        <rFont val="Calibri"/>
        <family val="2"/>
        <charset val="204"/>
      </rPr>
      <t>C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</si>
  <si>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1Ċ</t>
  </si>
  <si>
    <t xml:space="preserve">اول گروه C</t>
  </si>
  <si>
    <t xml:space="preserve">ที่ 1 สาย C</t>
  </si>
  <si>
    <t xml:space="preserve">۱ج</t>
  </si>
  <si>
    <t xml:space="preserve">2C</t>
  </si>
  <si>
    <t xml:space="preserve">C2</t>
  </si>
  <si>
    <t xml:space="preserve">2Γ</t>
  </si>
  <si>
    <r>
      <rPr>
        <sz val="10"/>
        <rFont val="Calibri"/>
        <family val="2"/>
        <charset val="204"/>
      </rPr>
      <t>C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</si>
  <si>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2Ċ</t>
  </si>
  <si>
    <t xml:space="preserve">دوم گروه C</t>
  </si>
  <si>
    <t xml:space="preserve">ที่ 2 สาย C</t>
  </si>
  <si>
    <t xml:space="preserve">۲ج</t>
  </si>
  <si>
    <t xml:space="preserve">1D</t>
  </si>
  <si>
    <t xml:space="preserve">D1</t>
  </si>
  <si>
    <t xml:space="preserve">1Δ</t>
  </si>
  <si>
    <r>
      <rPr>
        <sz val="10"/>
        <rFont val="Calibri"/>
        <family val="2"/>
        <charset val="204"/>
      </rPr>
      <t>D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</si>
  <si>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اول گروه D</t>
  </si>
  <si>
    <t xml:space="preserve">ที่ 1 สาย D</t>
  </si>
  <si>
    <t xml:space="preserve">۱د</t>
  </si>
  <si>
    <t xml:space="preserve">2D</t>
  </si>
  <si>
    <t xml:space="preserve">D2</t>
  </si>
  <si>
    <t xml:space="preserve">2Δ</t>
  </si>
  <si>
    <r>
      <rPr>
        <sz val="10"/>
        <rFont val="Calibri"/>
        <family val="2"/>
        <charset val="204"/>
      </rPr>
      <t>D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</si>
  <si>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 D</t>
  </si>
  <si>
    <t xml:space="preserve">ที่ 2 สาย D</t>
  </si>
  <si>
    <t xml:space="preserve">۲د</t>
  </si>
  <si>
    <t xml:space="preserve">1E</t>
  </si>
  <si>
    <t xml:space="preserve">E1</t>
  </si>
  <si>
    <t xml:space="preserve">1Ε</t>
  </si>
  <si>
    <r>
      <rPr>
        <sz val="10"/>
        <rFont val="Calibri"/>
        <family val="2"/>
        <charset val="204"/>
      </rPr>
      <t>E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</si>
  <si>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اول گروه E</t>
  </si>
  <si>
    <t xml:space="preserve">ที่ 1 สาย E</t>
  </si>
  <si>
    <t xml:space="preserve">۱ھ</t>
  </si>
  <si>
    <t xml:space="preserve">2E</t>
  </si>
  <si>
    <t xml:space="preserve">E2</t>
  </si>
  <si>
    <t xml:space="preserve">2Ε</t>
  </si>
  <si>
    <r>
      <rPr>
        <sz val="10"/>
        <rFont val="Calibri"/>
        <family val="2"/>
        <charset val="204"/>
      </rPr>
      <t>E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</si>
  <si>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 E</t>
  </si>
  <si>
    <t xml:space="preserve">ที่ 2 สาย E</t>
  </si>
  <si>
    <t xml:space="preserve">۲ھ</t>
  </si>
  <si>
    <t xml:space="preserve">1F</t>
  </si>
  <si>
    <t xml:space="preserve">F1</t>
  </si>
  <si>
    <t xml:space="preserve">1ΣΤ</t>
  </si>
  <si>
    <r>
      <rPr>
        <sz val="10"/>
        <rFont val="Calibri"/>
        <family val="2"/>
        <charset val="204"/>
      </rPr>
      <t>F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</si>
  <si>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اول گروه F</t>
  </si>
  <si>
    <t xml:space="preserve">ที่ 1 สาย F</t>
  </si>
  <si>
    <t xml:space="preserve">۱و</t>
  </si>
  <si>
    <t xml:space="preserve">2F</t>
  </si>
  <si>
    <t xml:space="preserve">F2</t>
  </si>
  <si>
    <t xml:space="preserve">2ΣΤ</t>
  </si>
  <si>
    <r>
      <rPr>
        <sz val="10"/>
        <rFont val="Calibri"/>
        <family val="2"/>
        <charset val="204"/>
      </rPr>
      <t>F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</si>
  <si>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 F</t>
  </si>
  <si>
    <t xml:space="preserve">ที่ 2 สาย F</t>
  </si>
  <si>
    <t xml:space="preserve">۲و</t>
  </si>
  <si>
    <t xml:space="preserve">1G</t>
  </si>
  <si>
    <t xml:space="preserve">G1</t>
  </si>
  <si>
    <t xml:space="preserve">1Ζ</t>
  </si>
  <si>
    <r>
      <rPr>
        <sz val="10"/>
        <rFont val="Calibri"/>
        <family val="2"/>
        <charset val="204"/>
      </rPr>
      <t>G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</si>
  <si>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1Ġ</t>
  </si>
  <si>
    <t xml:space="preserve">اول گروه G</t>
  </si>
  <si>
    <t xml:space="preserve">ที่ 1 สาย G</t>
  </si>
  <si>
    <t xml:space="preserve">۱ز</t>
  </si>
  <si>
    <t xml:space="preserve">2G</t>
  </si>
  <si>
    <t xml:space="preserve">G2</t>
  </si>
  <si>
    <t xml:space="preserve">2Ζ</t>
  </si>
  <si>
    <r>
      <rPr>
        <sz val="10"/>
        <rFont val="Calibri"/>
        <family val="2"/>
        <charset val="204"/>
      </rPr>
      <t>G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</si>
  <si>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2Ġ</t>
  </si>
  <si>
    <t xml:space="preserve">دوم گروه G</t>
  </si>
  <si>
    <t xml:space="preserve">ที่ 2 สาย G</t>
  </si>
  <si>
    <t xml:space="preserve">۲ز</t>
  </si>
  <si>
    <t xml:space="preserve">1H</t>
  </si>
  <si>
    <t xml:space="preserve">H1</t>
  </si>
  <si>
    <r>
      <rPr>
        <sz val="10"/>
        <rFont val="Calibri"/>
        <family val="2"/>
        <charset val="204"/>
      </rPr>
      <t>H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1</t>
    </r>
    <r>
      <rPr>
        <sz val="10"/>
        <rFont val="Noto Sans CJK SC Regular"/>
        <family val="2"/>
        <charset val="1"/>
      </rPr>
      <t>위</t>
    </r>
  </si>
  <si>
    <t xml:space="preserve">1Ħ</t>
  </si>
  <si>
    <t xml:space="preserve">اول گروه H</t>
  </si>
  <si>
    <t xml:space="preserve">ที่ 1 สาย H</t>
  </si>
  <si>
    <t xml:space="preserve">۱ح</t>
  </si>
  <si>
    <t xml:space="preserve">2H</t>
  </si>
  <si>
    <t xml:space="preserve">H2</t>
  </si>
  <si>
    <r>
      <rPr>
        <sz val="10"/>
        <rFont val="Calibri"/>
        <family val="2"/>
        <charset val="204"/>
      </rPr>
      <t>H </t>
    </r>
    <r>
      <rPr>
        <sz val="10"/>
        <rFont val="Noto Sans CJK SC Regular"/>
        <family val="2"/>
        <charset val="1"/>
      </rPr>
      <t>그룹 </t>
    </r>
    <r>
      <rPr>
        <sz val="10"/>
        <rFont val="Calibri"/>
        <family val="2"/>
        <charset val="204"/>
      </rPr>
      <t>2</t>
    </r>
    <r>
      <rPr>
        <sz val="10"/>
        <rFont val="Noto Sans CJK SC Regular"/>
        <family val="2"/>
        <charset val="1"/>
      </rPr>
      <t>위</t>
    </r>
  </si>
  <si>
    <t xml:space="preserve">دوم گروه H</t>
  </si>
  <si>
    <t xml:space="preserve">ที่ 2 สาย H</t>
  </si>
  <si>
    <t xml:space="preserve">۲ح</t>
  </si>
  <si>
    <t xml:space="preserve">W37</t>
  </si>
  <si>
    <t xml:space="preserve">F37</t>
  </si>
  <si>
    <t xml:space="preserve">Q37</t>
  </si>
  <si>
    <t xml:space="preserve">G37</t>
  </si>
  <si>
    <r>
      <rPr>
        <sz val="10"/>
        <rFont val="Calibri"/>
        <family val="2"/>
        <charset val="204"/>
      </rPr>
      <t>37</t>
    </r>
    <r>
      <rPr>
        <sz val="10"/>
        <rFont val="Noto Sans CJK SC Regular"/>
        <family val="2"/>
        <charset val="1"/>
      </rPr>
      <t>胜者</t>
    </r>
  </si>
  <si>
    <t xml:space="preserve">V37</t>
  </si>
  <si>
    <t xml:space="preserve">მ37</t>
  </si>
  <si>
    <t xml:space="preserve">Ν37</t>
  </si>
  <si>
    <t xml:space="preserve">GY37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</si>
  <si>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1 </t>
    </r>
    <r>
      <rPr>
        <sz val="10"/>
        <rFont val="Noto Sans CJK SC Regular"/>
        <family val="2"/>
        <charset val="1"/>
      </rPr>
      <t>승자</t>
    </r>
  </si>
  <si>
    <t xml:space="preserve">L37</t>
  </si>
  <si>
    <t xml:space="preserve">П37</t>
  </si>
  <si>
    <t xml:space="preserve">R37</t>
  </si>
  <si>
    <t xml:space="preserve">برنده بازی 37</t>
  </si>
  <si>
    <t xml:space="preserve">C37</t>
  </si>
  <si>
    <t xml:space="preserve">P37</t>
  </si>
  <si>
    <t xml:space="preserve">ผู้ชนะนัดที่ 37</t>
  </si>
  <si>
    <t xml:space="preserve">T37</t>
  </si>
  <si>
    <t xml:space="preserve">Переможець 37</t>
  </si>
  <si>
    <t xml:space="preserve">۴۹ جیت</t>
  </si>
  <si>
    <t xml:space="preserve">W39</t>
  </si>
  <si>
    <t xml:space="preserve">F39</t>
  </si>
  <si>
    <t xml:space="preserve">Q39</t>
  </si>
  <si>
    <t xml:space="preserve">G39</t>
  </si>
  <si>
    <r>
      <rPr>
        <sz val="10"/>
        <rFont val="Calibri"/>
        <family val="2"/>
        <charset val="204"/>
      </rPr>
      <t>39</t>
    </r>
    <r>
      <rPr>
        <sz val="10"/>
        <rFont val="Noto Sans CJK SC Regular"/>
        <family val="2"/>
        <charset val="1"/>
      </rPr>
      <t>胜者</t>
    </r>
  </si>
  <si>
    <t xml:space="preserve">V39</t>
  </si>
  <si>
    <t xml:space="preserve">მ39</t>
  </si>
  <si>
    <t xml:space="preserve">Ν39</t>
  </si>
  <si>
    <t xml:space="preserve">GY39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</si>
  <si>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2 </t>
    </r>
    <r>
      <rPr>
        <sz val="10"/>
        <rFont val="Noto Sans CJK SC Regular"/>
        <family val="2"/>
        <charset val="1"/>
      </rPr>
      <t>승자</t>
    </r>
  </si>
  <si>
    <t xml:space="preserve">L39</t>
  </si>
  <si>
    <t xml:space="preserve">П39</t>
  </si>
  <si>
    <t xml:space="preserve">R39</t>
  </si>
  <si>
    <t xml:space="preserve">برنده بازی 39</t>
  </si>
  <si>
    <t xml:space="preserve">C39</t>
  </si>
  <si>
    <t xml:space="preserve">P39</t>
  </si>
  <si>
    <t xml:space="preserve">ผู้ชนะนัดที่ 39</t>
  </si>
  <si>
    <t xml:space="preserve">T39</t>
  </si>
  <si>
    <t xml:space="preserve">Переможець 39</t>
  </si>
  <si>
    <t xml:space="preserve">۵۰ جیت</t>
  </si>
  <si>
    <t xml:space="preserve">W41</t>
  </si>
  <si>
    <t xml:space="preserve">F41</t>
  </si>
  <si>
    <t xml:space="preserve">Q41</t>
  </si>
  <si>
    <t xml:space="preserve">G41</t>
  </si>
  <si>
    <r>
      <rPr>
        <sz val="10"/>
        <rFont val="Calibri"/>
        <family val="2"/>
        <charset val="204"/>
      </rPr>
      <t>41</t>
    </r>
    <r>
      <rPr>
        <sz val="10"/>
        <rFont val="Noto Sans CJK SC Regular"/>
        <family val="2"/>
        <charset val="1"/>
      </rPr>
      <t>胜者</t>
    </r>
  </si>
  <si>
    <t xml:space="preserve">V41</t>
  </si>
  <si>
    <t xml:space="preserve">მ41</t>
  </si>
  <si>
    <t xml:space="preserve">Ν41</t>
  </si>
  <si>
    <t xml:space="preserve">GY41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</si>
  <si>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3 </t>
    </r>
    <r>
      <rPr>
        <sz val="10"/>
        <rFont val="Noto Sans CJK SC Regular"/>
        <family val="2"/>
        <charset val="1"/>
      </rPr>
      <t>승자</t>
    </r>
  </si>
  <si>
    <t xml:space="preserve">L41</t>
  </si>
  <si>
    <t xml:space="preserve">П41</t>
  </si>
  <si>
    <t xml:space="preserve">R41</t>
  </si>
  <si>
    <t xml:space="preserve">برنده بازی 41</t>
  </si>
  <si>
    <t xml:space="preserve">C41</t>
  </si>
  <si>
    <t xml:space="preserve">P41</t>
  </si>
  <si>
    <t xml:space="preserve">ผู้ชนะนัดที่ 41</t>
  </si>
  <si>
    <t xml:space="preserve">T41</t>
  </si>
  <si>
    <t xml:space="preserve">Переможець 41</t>
  </si>
  <si>
    <t xml:space="preserve">۵۱ جیت</t>
  </si>
  <si>
    <t xml:space="preserve">W43</t>
  </si>
  <si>
    <t xml:space="preserve">F43</t>
  </si>
  <si>
    <t xml:space="preserve">Q43</t>
  </si>
  <si>
    <t xml:space="preserve">G43</t>
  </si>
  <si>
    <r>
      <rPr>
        <sz val="10"/>
        <rFont val="Calibri"/>
        <family val="2"/>
        <charset val="204"/>
      </rPr>
      <t>43</t>
    </r>
    <r>
      <rPr>
        <sz val="10"/>
        <rFont val="Noto Sans CJK SC Regular"/>
        <family val="2"/>
        <charset val="1"/>
      </rPr>
      <t>胜者</t>
    </r>
  </si>
  <si>
    <t xml:space="preserve">V43</t>
  </si>
  <si>
    <t xml:space="preserve">მ43</t>
  </si>
  <si>
    <t xml:space="preserve">Ν43</t>
  </si>
  <si>
    <t xml:space="preserve">GY43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</si>
  <si>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4 </t>
    </r>
    <r>
      <rPr>
        <sz val="10"/>
        <rFont val="Noto Sans CJK SC Regular"/>
        <family val="2"/>
        <charset val="1"/>
      </rPr>
      <t>승자</t>
    </r>
  </si>
  <si>
    <t xml:space="preserve">L43</t>
  </si>
  <si>
    <t xml:space="preserve">П43</t>
  </si>
  <si>
    <t xml:space="preserve">R43</t>
  </si>
  <si>
    <t xml:space="preserve">برنده بازی 43</t>
  </si>
  <si>
    <t xml:space="preserve">C43</t>
  </si>
  <si>
    <t xml:space="preserve">P43</t>
  </si>
  <si>
    <t xml:space="preserve">ผู้ชนะนัดที่ 43</t>
  </si>
  <si>
    <t xml:space="preserve">T43</t>
  </si>
  <si>
    <t xml:space="preserve">Переможець 43</t>
  </si>
  <si>
    <t xml:space="preserve">۵۲ جیت</t>
  </si>
  <si>
    <t xml:space="preserve">W38</t>
  </si>
  <si>
    <t xml:space="preserve">F38</t>
  </si>
  <si>
    <t xml:space="preserve">Q38</t>
  </si>
  <si>
    <t xml:space="preserve">G38</t>
  </si>
  <si>
    <r>
      <rPr>
        <sz val="10"/>
        <rFont val="Calibri"/>
        <family val="2"/>
        <charset val="204"/>
      </rPr>
      <t>38</t>
    </r>
    <r>
      <rPr>
        <sz val="10"/>
        <rFont val="Noto Sans CJK SC Regular"/>
        <family val="2"/>
        <charset val="1"/>
      </rPr>
      <t>胜者</t>
    </r>
  </si>
  <si>
    <t xml:space="preserve">V38</t>
  </si>
  <si>
    <t xml:space="preserve">მ38</t>
  </si>
  <si>
    <t xml:space="preserve">Ν38</t>
  </si>
  <si>
    <t xml:space="preserve">GY38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</si>
  <si>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5 </t>
    </r>
    <r>
      <rPr>
        <sz val="10"/>
        <rFont val="Noto Sans CJK SC Regular"/>
        <family val="2"/>
        <charset val="1"/>
      </rPr>
      <t>승자</t>
    </r>
  </si>
  <si>
    <t xml:space="preserve">L38</t>
  </si>
  <si>
    <t xml:space="preserve">П38</t>
  </si>
  <si>
    <t xml:space="preserve">R38</t>
  </si>
  <si>
    <t xml:space="preserve">برنده بازی 38</t>
  </si>
  <si>
    <t xml:space="preserve">C38</t>
  </si>
  <si>
    <t xml:space="preserve">P38</t>
  </si>
  <si>
    <t xml:space="preserve">ผู้ชนะนัดที่ 38</t>
  </si>
  <si>
    <t xml:space="preserve">T38</t>
  </si>
  <si>
    <t xml:space="preserve">Переможець 38</t>
  </si>
  <si>
    <t xml:space="preserve">۵۳ جیت</t>
  </si>
  <si>
    <t xml:space="preserve">W42</t>
  </si>
  <si>
    <t xml:space="preserve">F42</t>
  </si>
  <si>
    <t xml:space="preserve">Q42</t>
  </si>
  <si>
    <t xml:space="preserve">G42</t>
  </si>
  <si>
    <r>
      <rPr>
        <sz val="10"/>
        <rFont val="Calibri"/>
        <family val="2"/>
        <charset val="204"/>
      </rPr>
      <t>42</t>
    </r>
    <r>
      <rPr>
        <sz val="10"/>
        <rFont val="Noto Sans CJK SC Regular"/>
        <family val="2"/>
        <charset val="1"/>
      </rPr>
      <t>胜者</t>
    </r>
  </si>
  <si>
    <t xml:space="preserve">V42</t>
  </si>
  <si>
    <t xml:space="preserve">მ42</t>
  </si>
  <si>
    <t xml:space="preserve">Ν42</t>
  </si>
  <si>
    <t xml:space="preserve">GY42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</si>
  <si>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6 </t>
    </r>
    <r>
      <rPr>
        <sz val="10"/>
        <rFont val="Noto Sans CJK SC Regular"/>
        <family val="2"/>
        <charset val="1"/>
      </rPr>
      <t>승자</t>
    </r>
  </si>
  <si>
    <t xml:space="preserve">L42</t>
  </si>
  <si>
    <t xml:space="preserve">П42</t>
  </si>
  <si>
    <t xml:space="preserve">R42</t>
  </si>
  <si>
    <t xml:space="preserve">برنده بازی 42</t>
  </si>
  <si>
    <t xml:space="preserve">C42</t>
  </si>
  <si>
    <t xml:space="preserve">P42</t>
  </si>
  <si>
    <t xml:space="preserve">ผู้ชนะนัดที่ 42</t>
  </si>
  <si>
    <t xml:space="preserve">T42</t>
  </si>
  <si>
    <t xml:space="preserve">Переможець 42</t>
  </si>
  <si>
    <t xml:space="preserve">۵۴ جیت</t>
  </si>
  <si>
    <t xml:space="preserve">W40</t>
  </si>
  <si>
    <t xml:space="preserve">F40</t>
  </si>
  <si>
    <t xml:space="preserve">Q40</t>
  </si>
  <si>
    <t xml:space="preserve">G40</t>
  </si>
  <si>
    <r>
      <rPr>
        <sz val="10"/>
        <rFont val="Calibri"/>
        <family val="2"/>
        <charset val="204"/>
      </rPr>
      <t>40</t>
    </r>
    <r>
      <rPr>
        <sz val="10"/>
        <rFont val="Noto Sans CJK SC Regular"/>
        <family val="2"/>
        <charset val="1"/>
      </rPr>
      <t>胜者</t>
    </r>
  </si>
  <si>
    <t xml:space="preserve">V40</t>
  </si>
  <si>
    <t xml:space="preserve">მ40</t>
  </si>
  <si>
    <t xml:space="preserve">Ν40</t>
  </si>
  <si>
    <t xml:space="preserve">GY40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</si>
  <si>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7 </t>
    </r>
    <r>
      <rPr>
        <sz val="10"/>
        <rFont val="Noto Sans CJK SC Regular"/>
        <family val="2"/>
        <charset val="1"/>
      </rPr>
      <t>승자</t>
    </r>
  </si>
  <si>
    <t xml:space="preserve">L40</t>
  </si>
  <si>
    <t xml:space="preserve">П40</t>
  </si>
  <si>
    <t xml:space="preserve">R40</t>
  </si>
  <si>
    <t xml:space="preserve">برنده بازی 40</t>
  </si>
  <si>
    <t xml:space="preserve">C40</t>
  </si>
  <si>
    <t xml:space="preserve">P40</t>
  </si>
  <si>
    <t xml:space="preserve">ผู้ชนะนัดที่ 40</t>
  </si>
  <si>
    <t xml:space="preserve">T40</t>
  </si>
  <si>
    <t xml:space="preserve">Переможець 40</t>
  </si>
  <si>
    <t xml:space="preserve">۵۵ جیت</t>
  </si>
  <si>
    <t xml:space="preserve">W44</t>
  </si>
  <si>
    <t xml:space="preserve">F44</t>
  </si>
  <si>
    <t xml:space="preserve">Q44</t>
  </si>
  <si>
    <t xml:space="preserve">G44</t>
  </si>
  <si>
    <r>
      <rPr>
        <sz val="10"/>
        <rFont val="Calibri"/>
        <family val="2"/>
        <charset val="204"/>
      </rPr>
      <t>44</t>
    </r>
    <r>
      <rPr>
        <sz val="10"/>
        <rFont val="Noto Sans CJK SC Regular"/>
        <family val="2"/>
        <charset val="1"/>
      </rPr>
      <t>胜者</t>
    </r>
  </si>
  <si>
    <t xml:space="preserve">V44</t>
  </si>
  <si>
    <t xml:space="preserve">მ44</t>
  </si>
  <si>
    <t xml:space="preserve">Ν44</t>
  </si>
  <si>
    <t xml:space="preserve">GY44</t>
  </si>
  <si>
    <r>
      <rPr>
        <sz val="10"/>
        <rFont val="Calibri"/>
        <family val="2"/>
        <charset val="204"/>
      </rPr>
      <t>16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8 </t>
    </r>
    <r>
      <rPr>
        <sz val="10"/>
        <rFont val="Noto Sans CJK SC Regular"/>
        <family val="2"/>
        <charset val="1"/>
      </rPr>
      <t>승자</t>
    </r>
  </si>
  <si>
    <t xml:space="preserve">L44</t>
  </si>
  <si>
    <t xml:space="preserve">П44</t>
  </si>
  <si>
    <t xml:space="preserve">R44</t>
  </si>
  <si>
    <t xml:space="preserve">برنده بازی 44</t>
  </si>
  <si>
    <t xml:space="preserve">C44</t>
  </si>
  <si>
    <t xml:space="preserve">P44</t>
  </si>
  <si>
    <t xml:space="preserve">ผู้ชนะนัดที่ 44</t>
  </si>
  <si>
    <t xml:space="preserve">T44</t>
  </si>
  <si>
    <t xml:space="preserve">Переможець 44</t>
  </si>
  <si>
    <t xml:space="preserve">۵۶ جیت</t>
  </si>
  <si>
    <t xml:space="preserve">W45</t>
  </si>
  <si>
    <t xml:space="preserve">F45</t>
  </si>
  <si>
    <t xml:space="preserve">Q45</t>
  </si>
  <si>
    <t xml:space="preserve">G45</t>
  </si>
  <si>
    <r>
      <rPr>
        <sz val="10"/>
        <rFont val="Calibri"/>
        <family val="2"/>
        <charset val="204"/>
      </rPr>
      <t>45</t>
    </r>
    <r>
      <rPr>
        <sz val="10"/>
        <rFont val="Noto Sans CJK SC Regular"/>
        <family val="2"/>
        <charset val="1"/>
      </rPr>
      <t>胜者</t>
    </r>
  </si>
  <si>
    <t xml:space="preserve">V45</t>
  </si>
  <si>
    <t xml:space="preserve">მ45</t>
  </si>
  <si>
    <t xml:space="preserve">Ν45</t>
  </si>
  <si>
    <t xml:space="preserve">GY45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</si>
  <si>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1 </t>
    </r>
    <r>
      <rPr>
        <sz val="10"/>
        <rFont val="Noto Sans CJK SC Regular"/>
        <family val="2"/>
        <charset val="1"/>
      </rPr>
      <t>승자</t>
    </r>
  </si>
  <si>
    <t xml:space="preserve">L45</t>
  </si>
  <si>
    <t xml:space="preserve">П45</t>
  </si>
  <si>
    <t xml:space="preserve">R45</t>
  </si>
  <si>
    <t xml:space="preserve">برنده بازی 45</t>
  </si>
  <si>
    <t xml:space="preserve">C45</t>
  </si>
  <si>
    <t xml:space="preserve">P45</t>
  </si>
  <si>
    <t xml:space="preserve">ผู้ชนะนัดที่ 45</t>
  </si>
  <si>
    <t xml:space="preserve">T45</t>
  </si>
  <si>
    <t xml:space="preserve">Переможець 45</t>
  </si>
  <si>
    <t xml:space="preserve">۵۷ جیت</t>
  </si>
  <si>
    <t xml:space="preserve">W46</t>
  </si>
  <si>
    <t xml:space="preserve">F46</t>
  </si>
  <si>
    <t xml:space="preserve">Q46</t>
  </si>
  <si>
    <t xml:space="preserve">G46</t>
  </si>
  <si>
    <r>
      <rPr>
        <sz val="10"/>
        <rFont val="Calibri"/>
        <family val="2"/>
        <charset val="204"/>
      </rPr>
      <t>46</t>
    </r>
    <r>
      <rPr>
        <sz val="10"/>
        <rFont val="Noto Sans CJK SC Regular"/>
        <family val="2"/>
        <charset val="1"/>
      </rPr>
      <t>胜者</t>
    </r>
  </si>
  <si>
    <t xml:space="preserve">V46</t>
  </si>
  <si>
    <t xml:space="preserve">მ46</t>
  </si>
  <si>
    <t xml:space="preserve">Ν46</t>
  </si>
  <si>
    <t xml:space="preserve">GY46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</si>
  <si>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2 </t>
    </r>
    <r>
      <rPr>
        <sz val="10"/>
        <rFont val="Noto Sans CJK SC Regular"/>
        <family val="2"/>
        <charset val="1"/>
      </rPr>
      <t>승자</t>
    </r>
  </si>
  <si>
    <t xml:space="preserve">L46</t>
  </si>
  <si>
    <t xml:space="preserve">П46</t>
  </si>
  <si>
    <t xml:space="preserve">R46</t>
  </si>
  <si>
    <t xml:space="preserve">برنده بازی 46</t>
  </si>
  <si>
    <t xml:space="preserve">C46</t>
  </si>
  <si>
    <t xml:space="preserve">P46</t>
  </si>
  <si>
    <t xml:space="preserve">ผู้ชนะนัดที่ 46</t>
  </si>
  <si>
    <t xml:space="preserve">T46</t>
  </si>
  <si>
    <t xml:space="preserve">Переможець 46</t>
  </si>
  <si>
    <t xml:space="preserve">۵۸ جیت</t>
  </si>
  <si>
    <t xml:space="preserve">W47</t>
  </si>
  <si>
    <t xml:space="preserve">F47</t>
  </si>
  <si>
    <t xml:space="preserve">Q47</t>
  </si>
  <si>
    <t xml:space="preserve">G47</t>
  </si>
  <si>
    <r>
      <rPr>
        <sz val="10"/>
        <rFont val="Calibri"/>
        <family val="2"/>
        <charset val="204"/>
      </rPr>
      <t>47</t>
    </r>
    <r>
      <rPr>
        <sz val="10"/>
        <rFont val="Noto Sans CJK SC Regular"/>
        <family val="2"/>
        <charset val="1"/>
      </rPr>
      <t>胜者</t>
    </r>
  </si>
  <si>
    <t xml:space="preserve">V47</t>
  </si>
  <si>
    <t xml:space="preserve">მ47</t>
  </si>
  <si>
    <t xml:space="preserve">Ν47</t>
  </si>
  <si>
    <t xml:space="preserve">GY47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</si>
  <si>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3 </t>
    </r>
    <r>
      <rPr>
        <sz val="10"/>
        <rFont val="Noto Sans CJK SC Regular"/>
        <family val="2"/>
        <charset val="1"/>
      </rPr>
      <t>승자</t>
    </r>
  </si>
  <si>
    <t xml:space="preserve">L47</t>
  </si>
  <si>
    <t xml:space="preserve">П47</t>
  </si>
  <si>
    <t xml:space="preserve">R47</t>
  </si>
  <si>
    <t xml:space="preserve">برنده بازی 47</t>
  </si>
  <si>
    <t xml:space="preserve">C47</t>
  </si>
  <si>
    <t xml:space="preserve">P47</t>
  </si>
  <si>
    <t xml:space="preserve">ผู้ชนะนัดที่ 47</t>
  </si>
  <si>
    <t xml:space="preserve">T47</t>
  </si>
  <si>
    <t xml:space="preserve">Переможець 47</t>
  </si>
  <si>
    <t xml:space="preserve">۵۹ جیت</t>
  </si>
  <si>
    <t xml:space="preserve">W48</t>
  </si>
  <si>
    <t xml:space="preserve">F48</t>
  </si>
  <si>
    <t xml:space="preserve">Q48</t>
  </si>
  <si>
    <t xml:space="preserve">G48</t>
  </si>
  <si>
    <r>
      <rPr>
        <sz val="10"/>
        <rFont val="Calibri"/>
        <family val="2"/>
        <charset val="204"/>
      </rPr>
      <t>48</t>
    </r>
    <r>
      <rPr>
        <sz val="10"/>
        <rFont val="Noto Sans CJK SC Regular"/>
        <family val="2"/>
        <charset val="1"/>
      </rPr>
      <t>胜者</t>
    </r>
  </si>
  <si>
    <t xml:space="preserve">V48</t>
  </si>
  <si>
    <t xml:space="preserve">მ48</t>
  </si>
  <si>
    <t xml:space="preserve">Ν48</t>
  </si>
  <si>
    <t xml:space="preserve">GY48</t>
  </si>
  <si>
    <r>
      <rPr>
        <sz val="10"/>
        <rFont val="Calibri"/>
        <family val="2"/>
        <charset val="204"/>
      </rPr>
      <t>8</t>
    </r>
    <r>
      <rPr>
        <sz val="10"/>
        <rFont val="Noto Sans CJK SC Regular"/>
        <family val="2"/>
        <charset val="1"/>
      </rPr>
      <t>강전 경기</t>
    </r>
    <r>
      <rPr>
        <sz val="10"/>
        <rFont val="Calibri"/>
        <family val="2"/>
        <charset val="204"/>
      </rPr>
      <t>4 </t>
    </r>
    <r>
      <rPr>
        <sz val="10"/>
        <rFont val="Noto Sans CJK SC Regular"/>
        <family val="2"/>
        <charset val="1"/>
      </rPr>
      <t>승자</t>
    </r>
  </si>
  <si>
    <t xml:space="preserve">L48</t>
  </si>
  <si>
    <t xml:space="preserve">П48</t>
  </si>
  <si>
    <t xml:space="preserve">R48</t>
  </si>
  <si>
    <t xml:space="preserve">برنده بازی 48</t>
  </si>
  <si>
    <t xml:space="preserve">C48</t>
  </si>
  <si>
    <t xml:space="preserve">P48</t>
  </si>
  <si>
    <t xml:space="preserve">ผู้ชนะนัดที่ 48</t>
  </si>
  <si>
    <t xml:space="preserve">T48</t>
  </si>
  <si>
    <t xml:space="preserve">Переможець 48</t>
  </si>
  <si>
    <t xml:space="preserve">۶۰ جیت</t>
  </si>
  <si>
    <t xml:space="preserve">W49</t>
  </si>
  <si>
    <t xml:space="preserve">F49</t>
  </si>
  <si>
    <t xml:space="preserve">Q49</t>
  </si>
  <si>
    <t xml:space="preserve">G49</t>
  </si>
  <si>
    <r>
      <rPr>
        <sz val="10"/>
        <rFont val="Calibri"/>
        <family val="2"/>
        <charset val="204"/>
      </rPr>
      <t>49</t>
    </r>
    <r>
      <rPr>
        <sz val="10"/>
        <rFont val="Noto Sans CJK SC Regular"/>
        <family val="2"/>
        <charset val="1"/>
      </rPr>
      <t>胜者</t>
    </r>
  </si>
  <si>
    <t xml:space="preserve">V49</t>
  </si>
  <si>
    <t xml:space="preserve">მ49</t>
  </si>
  <si>
    <t xml:space="preserve">Ν49</t>
  </si>
  <si>
    <t xml:space="preserve">GY49</t>
  </si>
  <si>
    <r>
      <rPr>
        <sz val="10"/>
        <rFont val="Noto Sans CJK SC Regular"/>
        <family val="2"/>
        <charset val="1"/>
      </rPr>
      <t>준결승 경기</t>
    </r>
    <r>
      <rPr>
        <sz val="10"/>
        <rFont val="Calibri"/>
        <family val="2"/>
        <charset val="204"/>
      </rPr>
      <t>1 </t>
    </r>
    <r>
      <rPr>
        <sz val="10"/>
        <rFont val="Noto Sans CJK SC Regular"/>
        <family val="2"/>
        <charset val="1"/>
      </rPr>
      <t>승자</t>
    </r>
  </si>
  <si>
    <t xml:space="preserve">L49</t>
  </si>
  <si>
    <t xml:space="preserve">П49</t>
  </si>
  <si>
    <t xml:space="preserve">R49</t>
  </si>
  <si>
    <t xml:space="preserve">برنده بازی 49</t>
  </si>
  <si>
    <t xml:space="preserve">C49</t>
  </si>
  <si>
    <t xml:space="preserve">P49</t>
  </si>
  <si>
    <t xml:space="preserve">ผู้ชนะนัดที่ 49</t>
  </si>
  <si>
    <t xml:space="preserve">T49</t>
  </si>
  <si>
    <t xml:space="preserve">Переможець 49</t>
  </si>
  <si>
    <t xml:space="preserve">۶۱ جیت</t>
  </si>
  <si>
    <t xml:space="preserve">W50</t>
  </si>
  <si>
    <t xml:space="preserve">F50</t>
  </si>
  <si>
    <t xml:space="preserve">Q50</t>
  </si>
  <si>
    <t xml:space="preserve">G50</t>
  </si>
  <si>
    <r>
      <rPr>
        <sz val="10"/>
        <rFont val="Calibri"/>
        <family val="2"/>
        <charset val="204"/>
      </rPr>
      <t>50</t>
    </r>
    <r>
      <rPr>
        <sz val="10"/>
        <rFont val="Noto Sans CJK SC Regular"/>
        <family val="2"/>
        <charset val="1"/>
      </rPr>
      <t>胜者</t>
    </r>
  </si>
  <si>
    <t xml:space="preserve">V50</t>
  </si>
  <si>
    <t xml:space="preserve">მ50</t>
  </si>
  <si>
    <t xml:space="preserve">Ν50</t>
  </si>
  <si>
    <t xml:space="preserve">GY50</t>
  </si>
  <si>
    <r>
      <rPr>
        <sz val="10"/>
        <rFont val="Noto Sans CJK SC Regular"/>
        <family val="2"/>
        <charset val="1"/>
      </rPr>
      <t>준결승 경기</t>
    </r>
    <r>
      <rPr>
        <sz val="10"/>
        <rFont val="Calibri"/>
        <family val="2"/>
        <charset val="204"/>
      </rPr>
      <t>2 </t>
    </r>
    <r>
      <rPr>
        <sz val="10"/>
        <rFont val="Noto Sans CJK SC Regular"/>
        <family val="2"/>
        <charset val="1"/>
      </rPr>
      <t>승자</t>
    </r>
  </si>
  <si>
    <t xml:space="preserve">L50</t>
  </si>
  <si>
    <t xml:space="preserve">П50</t>
  </si>
  <si>
    <t xml:space="preserve">R50</t>
  </si>
  <si>
    <t xml:space="preserve">برنده بازی 50</t>
  </si>
  <si>
    <t xml:space="preserve">C50</t>
  </si>
  <si>
    <t xml:space="preserve">P50</t>
  </si>
  <si>
    <t xml:space="preserve">ผู้ชนะนัดที่ 50</t>
  </si>
  <si>
    <t xml:space="preserve">T50</t>
  </si>
  <si>
    <t xml:space="preserve">Переможець 50</t>
  </si>
  <si>
    <t xml:space="preserve">۶۲ جیت</t>
  </si>
  <si>
    <t xml:space="preserve">L61</t>
  </si>
  <si>
    <t xml:space="preserve">H61</t>
  </si>
  <si>
    <t xml:space="preserve">M61</t>
  </si>
  <si>
    <t xml:space="preserve">P61</t>
  </si>
  <si>
    <r>
      <rPr>
        <sz val="10"/>
        <rFont val="Calibri"/>
        <family val="2"/>
        <charset val="204"/>
      </rPr>
      <t>61</t>
    </r>
    <r>
      <rPr>
        <sz val="10"/>
        <rFont val="Noto Sans CJK SC Regular"/>
        <family val="2"/>
        <charset val="1"/>
      </rPr>
      <t>负者</t>
    </r>
  </si>
  <si>
    <t xml:space="preserve">T61</t>
  </si>
  <si>
    <t xml:space="preserve">V61</t>
  </si>
  <si>
    <t xml:space="preserve">წ61</t>
  </si>
  <si>
    <t xml:space="preserve">Η61</t>
  </si>
  <si>
    <r>
      <rPr>
        <sz val="10"/>
        <rFont val="Noto Sans CJK SC Regular"/>
        <family val="2"/>
        <charset val="1"/>
      </rPr>
      <t>준결승 경기</t>
    </r>
    <r>
      <rPr>
        <sz val="10"/>
        <rFont val="Calibri"/>
        <family val="2"/>
        <charset val="204"/>
      </rPr>
      <t>1 </t>
    </r>
    <r>
      <rPr>
        <sz val="10"/>
        <rFont val="Noto Sans CJK SC Regular"/>
        <family val="2"/>
        <charset val="1"/>
      </rPr>
      <t>패자</t>
    </r>
  </si>
  <si>
    <t xml:space="preserve">И61</t>
  </si>
  <si>
    <t xml:space="preserve">بازنده بازی 61</t>
  </si>
  <si>
    <t xml:space="preserve">I61</t>
  </si>
  <si>
    <t xml:space="preserve">ผู้แพ้นัดที่ 61</t>
  </si>
  <si>
    <t xml:space="preserve">B61</t>
  </si>
  <si>
    <t xml:space="preserve">Переможений 61</t>
  </si>
  <si>
    <t xml:space="preserve">۶۱ ہار</t>
  </si>
  <si>
    <t xml:space="preserve">L62</t>
  </si>
  <si>
    <t xml:space="preserve">H62</t>
  </si>
  <si>
    <t xml:space="preserve">M62</t>
  </si>
  <si>
    <t xml:space="preserve">P62</t>
  </si>
  <si>
    <r>
      <rPr>
        <sz val="10"/>
        <rFont val="Calibri"/>
        <family val="2"/>
        <charset val="204"/>
      </rPr>
      <t>62</t>
    </r>
    <r>
      <rPr>
        <sz val="10"/>
        <rFont val="Noto Sans CJK SC Regular"/>
        <family val="2"/>
        <charset val="1"/>
      </rPr>
      <t>负者</t>
    </r>
  </si>
  <si>
    <t xml:space="preserve">T62</t>
  </si>
  <si>
    <t xml:space="preserve">V62</t>
  </si>
  <si>
    <t xml:space="preserve">წ62</t>
  </si>
  <si>
    <t xml:space="preserve">Η62</t>
  </si>
  <si>
    <r>
      <rPr>
        <sz val="10"/>
        <rFont val="Noto Sans CJK SC Regular"/>
        <family val="2"/>
        <charset val="1"/>
      </rPr>
      <t>준결승 경기</t>
    </r>
    <r>
      <rPr>
        <sz val="10"/>
        <rFont val="Calibri"/>
        <family val="2"/>
        <charset val="204"/>
      </rPr>
      <t>2 </t>
    </r>
    <r>
      <rPr>
        <sz val="10"/>
        <rFont val="Noto Sans CJK SC Regular"/>
        <family val="2"/>
        <charset val="1"/>
      </rPr>
      <t>패자</t>
    </r>
  </si>
  <si>
    <t xml:space="preserve">И62</t>
  </si>
  <si>
    <t xml:space="preserve">بازنده بازی 62</t>
  </si>
  <si>
    <t xml:space="preserve">I62</t>
  </si>
  <si>
    <t xml:space="preserve">ผู้แพ้นัดที่ 62</t>
  </si>
  <si>
    <t xml:space="preserve">B62</t>
  </si>
  <si>
    <t xml:space="preserve">Переможений 62</t>
  </si>
  <si>
    <t xml:space="preserve">۶۲ ہار</t>
  </si>
  <si>
    <t xml:space="preserve">Champion 2016</t>
  </si>
  <si>
    <t xml:space="preserve">بطل 2016</t>
  </si>
  <si>
    <t xml:space="preserve">Champion 2016-</t>
  </si>
  <si>
    <t xml:space="preserve">Шампион 2016</t>
  </si>
  <si>
    <t xml:space="preserve">Campió 2016</t>
  </si>
  <si>
    <r>
      <rPr>
        <sz val="10"/>
        <rFont val="Calibri"/>
        <family val="2"/>
        <charset val="204"/>
      </rPr>
      <t>2016</t>
    </r>
    <r>
      <rPr>
        <sz val="10"/>
        <rFont val="Noto Sans CJK SC Regular"/>
        <family val="2"/>
        <charset val="1"/>
      </rPr>
      <t>年冠军</t>
    </r>
  </si>
  <si>
    <r>
      <rPr>
        <sz val="10"/>
        <rFont val="Calibri"/>
        <family val="2"/>
        <charset val="204"/>
      </rPr>
      <t>2016</t>
    </r>
    <r>
      <rPr>
        <sz val="10"/>
        <rFont val="Noto Sans CJK SC Regular"/>
        <family val="2"/>
        <charset val="1"/>
      </rPr>
      <t>年冠軍</t>
    </r>
  </si>
  <si>
    <t xml:space="preserve">Prvak 2016</t>
  </si>
  <si>
    <t xml:space="preserve">ჩემპიონი 2016</t>
  </si>
  <si>
    <t xml:space="preserve">Meister 2016</t>
  </si>
  <si>
    <t xml:space="preserve">Πρωταθλητής 2016</t>
  </si>
  <si>
    <t xml:space="preserve">אלוף 2016</t>
  </si>
  <si>
    <t xml:space="preserve">Juara 2016</t>
  </si>
  <si>
    <t xml:space="preserve">Meistari 2016</t>
  </si>
  <si>
    <t xml:space="preserve">Campione 2016</t>
  </si>
  <si>
    <r>
      <rPr>
        <sz val="10"/>
        <rFont val="Noto Sans CJK SC Regular"/>
        <family val="2"/>
        <charset val="1"/>
      </rPr>
      <t>챔피언 </t>
    </r>
    <r>
      <rPr>
        <sz val="10"/>
        <rFont val="Calibri"/>
        <family val="2"/>
        <charset val="204"/>
      </rPr>
      <t>2016</t>
    </r>
  </si>
  <si>
    <t xml:space="preserve">Čempionas 2016</t>
  </si>
  <si>
    <t xml:space="preserve">قهرمان 2016</t>
  </si>
  <si>
    <t xml:space="preserve">Campionul 2016</t>
  </si>
  <si>
    <t xml:space="preserve">Чемпион 2016</t>
  </si>
  <si>
    <t xml:space="preserve">Цхампион 2016</t>
  </si>
  <si>
    <t xml:space="preserve">Campeón 2016</t>
  </si>
  <si>
    <t xml:space="preserve">แชมป์ 2016</t>
  </si>
  <si>
    <t xml:space="preserve">Şampiyon 2016</t>
  </si>
  <si>
    <t xml:space="preserve">Чемпіон 2016</t>
  </si>
  <si>
    <t xml:space="preserve">چیمپیئن 2016</t>
  </si>
  <si>
    <t xml:space="preserve">Allianz Riviera, Nice</t>
  </si>
  <si>
    <t xml:space="preserve">Brasilia</t>
  </si>
  <si>
    <t xml:space="preserve">Brazilias</t>
  </si>
  <si>
    <t xml:space="preserve">برازيليا</t>
  </si>
  <si>
    <t xml:space="preserve">Brasília</t>
  </si>
  <si>
    <t xml:space="preserve">巴西利亚</t>
  </si>
  <si>
    <t xml:space="preserve">巴西利亞</t>
  </si>
  <si>
    <t xml:space="preserve">Μπραζίλια</t>
  </si>
  <si>
    <t xml:space="preserve">ברזיליה</t>
  </si>
  <si>
    <t xml:space="preserve">브라질리아</t>
  </si>
  <si>
    <t xml:space="preserve">Бразилија</t>
  </si>
  <si>
    <t xml:space="preserve">برازیلیا</t>
  </si>
  <si>
    <t xml:space="preserve">Бразилиа</t>
  </si>
  <si>
    <t xml:space="preserve">บราซิเลีย</t>
  </si>
  <si>
    <t xml:space="preserve">Бразиліа</t>
  </si>
  <si>
    <t xml:space="preserve">براسیلیا</t>
  </si>
  <si>
    <t xml:space="preserve">Cuiaba</t>
  </si>
  <si>
    <t xml:space="preserve">كويابا</t>
  </si>
  <si>
    <t xml:space="preserve">库亚巴</t>
  </si>
  <si>
    <t xml:space="preserve">庫亞巴</t>
  </si>
  <si>
    <t xml:space="preserve">Cuiabá</t>
  </si>
  <si>
    <t xml:space="preserve">קויאבה</t>
  </si>
  <si>
    <t xml:space="preserve">쿠이 아바</t>
  </si>
  <si>
    <t xml:space="preserve">کویابا</t>
  </si>
  <si>
    <t xml:space="preserve">cuiaba</t>
  </si>
  <si>
    <t xml:space="preserve">Куяба</t>
  </si>
  <si>
    <t xml:space="preserve">Кујаба</t>
  </si>
  <si>
    <t xml:space="preserve">กูยาบา</t>
  </si>
  <si>
    <t xml:space="preserve">کیوبا</t>
  </si>
  <si>
    <t xml:space="preserve">Stade Vélodrome, Marseille</t>
  </si>
  <si>
    <t xml:space="preserve">Parc des Princes, Paris</t>
  </si>
  <si>
    <t xml:space="preserve">Stadium Municipal, Toulouse</t>
  </si>
  <si>
    <t xml:space="preserve">Stade Bollaert-Delelis, Lens</t>
  </si>
  <si>
    <t xml:space="preserve">Parc Olympique Lyonnais, Lyon</t>
  </si>
  <si>
    <t xml:space="preserve">Stade Pierre-Mauroy, Lille</t>
  </si>
  <si>
    <t xml:space="preserve">Stade Geoffroy-Guichard, Saint-Étienne</t>
  </si>
  <si>
    <t xml:space="preserve">Nouveau Stade de Bordeaux, Bordeaux</t>
  </si>
  <si>
    <t xml:space="preserve">Stade de France, Saint-Denis</t>
  </si>
  <si>
    <t xml:space="preserve">en</t>
  </si>
  <si>
    <t xml:space="preserve">sq</t>
  </si>
  <si>
    <t xml:space="preserve">ar</t>
  </si>
  <si>
    <t xml:space="preserve">hy</t>
  </si>
  <si>
    <t xml:space="preserve">az</t>
  </si>
  <si>
    <t xml:space="preserve">bg</t>
  </si>
  <si>
    <t xml:space="preserve">ca</t>
  </si>
  <si>
    <t xml:space="preserve">zh-CN</t>
  </si>
  <si>
    <t xml:space="preserve">zh-TW</t>
  </si>
  <si>
    <t xml:space="preserve">hr</t>
  </si>
  <si>
    <t xml:space="preserve">cs</t>
  </si>
  <si>
    <t xml:space="preserve">da</t>
  </si>
  <si>
    <t xml:space="preserve">nl</t>
  </si>
  <si>
    <t xml:space="preserve">fr</t>
  </si>
  <si>
    <t xml:space="preserve">ka</t>
  </si>
  <si>
    <t xml:space="preserve">de</t>
  </si>
  <si>
    <t xml:space="preserve">el</t>
  </si>
  <si>
    <t xml:space="preserve">iw</t>
  </si>
  <si>
    <t xml:space="preserve">hu</t>
  </si>
  <si>
    <t xml:space="preserve">id</t>
  </si>
  <si>
    <t xml:space="preserve">is</t>
  </si>
  <si>
    <t xml:space="preserve">it</t>
  </si>
  <si>
    <t xml:space="preserve">ko</t>
  </si>
  <si>
    <t xml:space="preserve">lt</t>
  </si>
  <si>
    <t xml:space="preserve">mk</t>
  </si>
  <si>
    <t xml:space="preserve">mt</t>
  </si>
  <si>
    <t xml:space="preserve">no</t>
  </si>
  <si>
    <t xml:space="preserve">fa</t>
  </si>
  <si>
    <t xml:space="preserve">pl</t>
  </si>
  <si>
    <t xml:space="preserve">pt</t>
  </si>
  <si>
    <t xml:space="preserve">ro</t>
  </si>
  <si>
    <t xml:space="preserve">ru</t>
  </si>
  <si>
    <t xml:space="preserve">sr</t>
  </si>
  <si>
    <t xml:space="preserve">sk</t>
  </si>
  <si>
    <t xml:space="preserve">sl</t>
  </si>
  <si>
    <t xml:space="preserve">es</t>
  </si>
  <si>
    <t xml:space="preserve">sv</t>
  </si>
  <si>
    <t xml:space="preserve">th</t>
  </si>
  <si>
    <t xml:space="preserve">tr</t>
  </si>
  <si>
    <t xml:space="preserve">vi</t>
  </si>
  <si>
    <t xml:space="preserve">uk</t>
  </si>
  <si>
    <t xml:space="preserve">ur</t>
  </si>
  <si>
    <t xml:space="preserve">Settings</t>
  </si>
  <si>
    <t xml:space="preserve">Group Round Sorting</t>
  </si>
  <si>
    <t xml:space="preserve">Language</t>
  </si>
  <si>
    <t xml:space="preserve">Step #1</t>
  </si>
  <si>
    <t xml:space="preserve">Points</t>
  </si>
  <si>
    <t xml:space="preserve">Summer Time</t>
  </si>
  <si>
    <t xml:space="preserve">Yes</t>
  </si>
  <si>
    <t xml:space="preserve">Step #2</t>
  </si>
  <si>
    <t xml:space="preserve">Concerned teams (Pnt, GF-GA, GF)</t>
  </si>
  <si>
    <t xml:space="preserve">Step #3</t>
  </si>
  <si>
    <t xml:space="preserve">Goal Difference</t>
  </si>
  <si>
    <t xml:space="preserve">GTM-Time</t>
  </si>
  <si>
    <t xml:space="preserve">GMT + 1:00</t>
  </si>
  <si>
    <t xml:space="preserve">Step #4</t>
  </si>
  <si>
    <t xml:space="preserve">Goals Scored</t>
  </si>
  <si>
    <t xml:space="preserve">Step #5</t>
  </si>
  <si>
    <t xml:space="preserve">UEFA Rank</t>
  </si>
  <si>
    <t xml:space="preserve">Minutes</t>
  </si>
  <si>
    <t xml:space="preserve">+0 min</t>
  </si>
  <si>
    <t xml:space="preserve">Language ID</t>
  </si>
  <si>
    <t xml:space="preserve">GMT Delta</t>
  </si>
  <si>
    <t xml:space="preserve">GMT - 11:00</t>
  </si>
  <si>
    <t xml:space="preserve">GMT - 10:00</t>
  </si>
  <si>
    <t xml:space="preserve">GMT - 9:00</t>
  </si>
  <si>
    <t xml:space="preserve">GMT - 8:00</t>
  </si>
  <si>
    <t xml:space="preserve">GMT - 7:00</t>
  </si>
  <si>
    <t xml:space="preserve">GMT - 6:00</t>
  </si>
  <si>
    <t xml:space="preserve">GMT - 5:00</t>
  </si>
  <si>
    <t xml:space="preserve">GMT - 4:00</t>
  </si>
  <si>
    <t xml:space="preserve">GMT - 3:00</t>
  </si>
  <si>
    <t xml:space="preserve">GMT - 2:00</t>
  </si>
  <si>
    <t xml:space="preserve">GMT - 1:00</t>
  </si>
  <si>
    <t xml:space="preserve">GMT</t>
  </si>
  <si>
    <t xml:space="preserve">GMT + 2:00</t>
  </si>
  <si>
    <t xml:space="preserve">GMT + 3:00</t>
  </si>
  <si>
    <t xml:space="preserve">GMT + 4:00</t>
  </si>
  <si>
    <t xml:space="preserve">GMT + 5:00</t>
  </si>
  <si>
    <t xml:space="preserve">GMT + 6:00</t>
  </si>
  <si>
    <t xml:space="preserve">GMT + 7:00</t>
  </si>
  <si>
    <t xml:space="preserve">GMT + 8:00</t>
  </si>
  <si>
    <t xml:space="preserve">GMT + 9:00</t>
  </si>
  <si>
    <t xml:space="preserve">GMT + 10:00</t>
  </si>
  <si>
    <t xml:space="preserve">GMT + 11:00</t>
  </si>
  <si>
    <t xml:space="preserve">GMT + 12:00</t>
  </si>
  <si>
    <t xml:space="preserve">+15 min</t>
  </si>
  <si>
    <t xml:space="preserve">+30 min</t>
  </si>
  <si>
    <t xml:space="preserve">+45 min</t>
  </si>
  <si>
    <t xml:space="preserve">itype</t>
  </si>
  <si>
    <t xml:space="preserve">Group Round: 3rd Places Tiebreak</t>
  </si>
  <si>
    <t xml:space="preserve">Best 3rds:</t>
  </si>
  <si>
    <t xml:space="preserve">1A vs</t>
  </si>
  <si>
    <t xml:space="preserve">1B vs </t>
  </si>
  <si>
    <t xml:space="preserve">1C vs</t>
  </si>
  <si>
    <t xml:space="preserve">1D vs</t>
  </si>
  <si>
    <t xml:space="preserve">ABCD</t>
  </si>
  <si>
    <t xml:space="preserve">3C</t>
  </si>
  <si>
    <t xml:space="preserve">3D</t>
  </si>
  <si>
    <t xml:space="preserve">3A</t>
  </si>
  <si>
    <t xml:space="preserve">3B</t>
  </si>
  <si>
    <t xml:space="preserve">ABCE</t>
  </si>
  <si>
    <t xml:space="preserve">3E</t>
  </si>
  <si>
    <t xml:space="preserve">ABCF</t>
  </si>
  <si>
    <t xml:space="preserve">3F</t>
  </si>
  <si>
    <t xml:space="preserve">ABDE</t>
  </si>
  <si>
    <t xml:space="preserve">ABDF</t>
  </si>
  <si>
    <t xml:space="preserve">ABEF</t>
  </si>
  <si>
    <t xml:space="preserve">ACDE</t>
  </si>
  <si>
    <t xml:space="preserve">ACDF</t>
  </si>
  <si>
    <t xml:space="preserve">ACEF</t>
  </si>
  <si>
    <t xml:space="preserve">ADEF</t>
  </si>
  <si>
    <t xml:space="preserve">BCDE</t>
  </si>
  <si>
    <t xml:space="preserve">BCDF</t>
  </si>
  <si>
    <t xml:space="preserve">BCEF</t>
  </si>
  <si>
    <t xml:space="preserve">BDEF</t>
  </si>
  <si>
    <t xml:space="preserve">CDEF</t>
  </si>
  <si>
    <t xml:space="preserve">Home Page: www.excely.com</t>
  </si>
  <si>
    <t xml:space="preserve">Date + Time + GMT</t>
  </si>
  <si>
    <t xml:space="preserve">GF</t>
  </si>
  <si>
    <t xml:space="preserve">GA</t>
  </si>
  <si>
    <t xml:space="preserve">Place</t>
  </si>
  <si>
    <t xml:space="preserve">Delta</t>
  </si>
  <si>
    <t xml:space="preserve">Pnt</t>
  </si>
  <si>
    <t xml:space="preserve">FIFA</t>
  </si>
  <si>
    <t xml:space="preserve">Rank</t>
  </si>
  <si>
    <t xml:space="preserve">F-A</t>
  </si>
  <si>
    <t xml:space="preserve">Betfair Betting Exchange</t>
  </si>
  <si>
    <t xml:space="preserve">FIFA World Cup 2014 Tickets</t>
  </si>
  <si>
    <t xml:space="preserve">Cut MP3 Files</t>
  </si>
  <si>
    <t xml:space="preserve">WAV to MP3 Converter</t>
  </si>
  <si>
    <t xml:space="preserve">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</si>
</sst>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;;;"/>
    <numFmt numFmtId="166" formatCode="#,##0"/>
    <numFmt numFmtId="167" formatCode="H:MM;@"/>
    <numFmt numFmtId="168" formatCode="M/D/YY\ H:MM;@"/>
  </numFmts>
  <fonts count="19">
    <font>
      <sz val="1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Noto Sans CJK SC Regular"/>
      <family val="2"/>
      <charset val="1"/>
    </font>
    <font>
      <b val="true"/>
      <sz val="12"/>
      <name val="Calibri"/>
      <family val="2"/>
      <charset val="204"/>
    </font>
    <font>
      <sz val="8"/>
      <name val="Calibri"/>
      <family val="2"/>
      <charset val="204"/>
    </font>
    <font>
      <b val="true"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10"/>
      <color rgb="FFFFFFFF"/>
      <name val="Calibri"/>
      <family val="2"/>
      <charset val="204"/>
    </font>
    <font>
      <sz val="36"/>
      <name val="Calibri"/>
      <family val="2"/>
      <charset val="204"/>
    </font>
    <font>
      <sz val="14"/>
      <color rgb="FF0000FF"/>
      <name val="Calibri"/>
      <family val="2"/>
      <charset val="204"/>
    </font>
    <font>
      <u val="single"/>
      <sz val="10"/>
      <color rgb="FF0000FF"/>
      <name val="Calibri"/>
      <family val="2"/>
      <charset val="204"/>
    </font>
    <font>
      <u val="single"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 val="true"/>
      <sz val="10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0000FF"/>
      <name val="Calibri"/>
      <family val="2"/>
      <charset val="204"/>
    </font>
    <font>
      <sz val="12"/>
      <color rgb="FF0000FF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95B3D7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thin">
        <color rgb="FF0000FF"/>
      </left>
      <right/>
      <top style="thin">
        <color rgb="FF0000FF"/>
      </top>
      <bottom style="thin">
        <color rgb="FF0000FF"/>
      </bottom>
      <diagonal/>
    </border>
    <border diagonalUp="false" diagonalDown="false">
      <left/>
      <right/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/>
      <right/>
      <top/>
      <bottom style="thin">
        <color rgb="FF3366FF"/>
      </bottom>
      <diagonal/>
    </border>
    <border diagonalUp="false" diagonalDown="false">
      <left style="thin">
        <color rgb="FF3366FF"/>
      </left>
      <right/>
      <top style="thin">
        <color rgb="FF558ED5"/>
      </top>
      <bottom style="hair">
        <color rgb="FF3366FF"/>
      </bottom>
      <diagonal/>
    </border>
    <border diagonalUp="false" diagonalDown="false">
      <left/>
      <right/>
      <top style="thin">
        <color rgb="FF558ED5"/>
      </top>
      <bottom style="hair">
        <color rgb="FF3366FF"/>
      </bottom>
      <diagonal/>
    </border>
    <border diagonalUp="false" diagonalDown="false">
      <left/>
      <right style="hair">
        <color rgb="FF3366FF"/>
      </right>
      <top style="thin">
        <color rgb="FF558ED5"/>
      </top>
      <bottom style="hair">
        <color rgb="FF3366FF"/>
      </bottom>
      <diagonal/>
    </border>
    <border diagonalUp="false" diagonalDown="false"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 diagonalUp="false" diagonalDown="false">
      <left style="thin">
        <color rgb="FF3366FF"/>
      </left>
      <right style="hair">
        <color rgb="FF3366FF"/>
      </right>
      <top style="thin">
        <color rgb="FF558ED5"/>
      </top>
      <bottom style="hair">
        <color rgb="FF3366FF"/>
      </bottom>
      <diagonal/>
    </border>
    <border diagonalUp="false" diagonalDown="false">
      <left/>
      <right style="hair">
        <color rgb="FF3366FF"/>
      </right>
      <top/>
      <bottom style="hair">
        <color rgb="FF3366FF"/>
      </bottom>
      <diagonal/>
    </border>
    <border diagonalUp="false" diagonalDown="false"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 diagonalUp="false" diagonalDown="false"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 diagonalUp="false" diagonalDown="false">
      <left style="thin">
        <color rgb="FF3366FF"/>
      </left>
      <right/>
      <top style="thin">
        <color rgb="FF3366FF"/>
      </top>
      <bottom style="hair">
        <color rgb="FF3366FF"/>
      </bottom>
      <diagonal/>
    </border>
    <border diagonalUp="false" diagonalDown="false"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 diagonalUp="false" diagonalDown="false"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 diagonalUp="false" diagonalDown="false">
      <left style="thin">
        <color rgb="FF3366FF"/>
      </left>
      <right/>
      <top style="hair">
        <color rgb="FF3366FF"/>
      </top>
      <bottom style="hair">
        <color rgb="FF3366FF"/>
      </bottom>
      <diagonal/>
    </border>
    <border diagonalUp="false" diagonalDown="false">
      <left/>
      <right/>
      <top style="hair">
        <color rgb="FF3366FF"/>
      </top>
      <bottom style="hair">
        <color rgb="FF3366FF"/>
      </bottom>
      <diagonal/>
    </border>
    <border diagonalUp="false" diagonalDown="false">
      <left/>
      <right style="hair">
        <color rgb="FF3366FF"/>
      </right>
      <top style="hair">
        <color rgb="FF3366FF"/>
      </top>
      <bottom style="hair">
        <color rgb="FF3366FF"/>
      </bottom>
      <diagonal/>
    </border>
    <border diagonalUp="false" diagonalDown="false"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 diagonalUp="false" diagonalDown="false"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 diagonalUp="false" diagonalDown="false">
      <left style="thin">
        <color rgb="FF3366FF"/>
      </left>
      <right/>
      <top style="hair">
        <color rgb="FF3366FF"/>
      </top>
      <bottom style="thin">
        <color rgb="FF3366FF"/>
      </bottom>
      <diagonal/>
    </border>
    <border diagonalUp="false" diagonalDown="false"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 diagonalUp="false" diagonalDown="false"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 diagonalUp="false" diagonalDown="false">
      <left/>
      <right style="thin">
        <color rgb="FF558ED5"/>
      </right>
      <top style="thin">
        <color rgb="FF558ED5"/>
      </top>
      <bottom/>
      <diagonal/>
    </border>
    <border diagonalUp="false" diagonalDown="false"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 diagonalUp="false" diagonalDown="false"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 diagonalUp="false" diagonalDown="false">
      <left/>
      <right style="thin">
        <color rgb="FF558ED5"/>
      </right>
      <top/>
      <bottom/>
      <diagonal/>
    </border>
    <border diagonalUp="false" diagonalDown="false">
      <left style="thin">
        <color rgb="FF558ED5"/>
      </left>
      <right/>
      <top style="thin">
        <color rgb="FF558ED5"/>
      </top>
      <bottom/>
      <diagonal/>
    </border>
    <border diagonalUp="false" diagonalDown="false">
      <left/>
      <right style="thin">
        <color rgb="FF558ED5"/>
      </right>
      <top/>
      <bottom style="thin">
        <color rgb="FF558ED5"/>
      </bottom>
      <diagonal/>
    </border>
    <border diagonalUp="false" diagonalDown="false">
      <left style="thin">
        <color rgb="FF558ED5"/>
      </left>
      <right/>
      <top/>
      <bottom/>
      <diagonal/>
    </border>
    <border diagonalUp="false" diagonalDown="false">
      <left/>
      <right/>
      <top style="medium">
        <color rgb="FF0000FF"/>
      </top>
      <bottom/>
      <diagonal/>
    </border>
    <border diagonalUp="false" diagonalDown="false">
      <left/>
      <right/>
      <top style="hair">
        <color rgb="FF3366FF"/>
      </top>
      <bottom style="thin">
        <color rgb="FF3366FF"/>
      </bottom>
      <diagonal/>
    </border>
    <border diagonalUp="false" diagonalDown="false">
      <left/>
      <right style="hair">
        <color rgb="FF3366FF"/>
      </right>
      <top style="hair">
        <color rgb="FF3366FF"/>
      </top>
      <bottom style="thin">
        <color rgb="FF3366FF"/>
      </bottom>
      <diagonal/>
    </border>
    <border diagonalUp="false" diagonalDown="false"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5" shrinkToFit="false"/>
      <protection locked="true" hidden="true"/>
    </xf>
    <xf numFmtId="164" fontId="0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3" borderId="6" xfId="0" applyFont="true" applyBorder="true" applyAlignment="true" applyProtection="true">
      <alignment horizontal="left" vertical="bottom" textRotation="0" wrapText="false" indent="5" shrinkToFit="false"/>
      <protection locked="fals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6" xfId="0" applyFont="true" applyBorder="true" applyAlignment="true" applyProtection="true">
      <alignment horizontal="left" vertical="center" textRotation="0" wrapText="false" indent="5" shrinkToFit="false"/>
      <protection locked="false" hidden="false"/>
    </xf>
    <xf numFmtId="164" fontId="0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6" fillId="2" borderId="1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2" borderId="1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2" borderId="4" xfId="0" applyFont="true" applyBorder="true" applyAlignment="true" applyProtection="true">
      <alignment horizontal="left" vertical="bottom" textRotation="0" wrapText="false" indent="5" shrinkToFit="false"/>
      <protection locked="true" hidden="true"/>
    </xf>
    <xf numFmtId="166" fontId="0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tru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true"/>
      <protection locked="true" hidden="tru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5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5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3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7" borderId="35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5" fillId="7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37" xfId="0" applyFont="false" applyBorder="true" applyAlignment="true" applyProtection="true">
      <alignment horizontal="general" vertical="center" textRotation="0" wrapText="false" indent="0" shrinkToFit="true"/>
      <protection locked="true" hidden="true"/>
    </xf>
    <xf numFmtId="164" fontId="0" fillId="0" borderId="38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0" borderId="39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4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8" borderId="41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42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42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7" fontId="0" fillId="8" borderId="43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44" xfId="0" applyFont="false" applyBorder="true" applyAlignment="true" applyProtection="true">
      <alignment horizontal="right" vertical="center" textRotation="0" wrapText="false" indent="14" shrinkToFit="true"/>
      <protection locked="true" hidden="true"/>
    </xf>
    <xf numFmtId="164" fontId="0" fillId="9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9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46" xfId="0" applyFont="false" applyBorder="true" applyAlignment="true" applyProtection="true">
      <alignment horizontal="left" vertical="center" textRotation="0" wrapText="false" indent="14" shrinkToFit="true"/>
      <protection locked="true" hidden="true"/>
    </xf>
    <xf numFmtId="164" fontId="0" fillId="8" borderId="47" xfId="0" applyFont="true" applyBorder="true" applyAlignment="true" applyProtection="true">
      <alignment horizontal="right" vertical="center" textRotation="0" wrapText="false" indent="0" shrinkToFit="true"/>
      <protection locked="true" hidden="true"/>
    </xf>
    <xf numFmtId="164" fontId="0" fillId="0" borderId="48" xfId="0" applyFont="false" applyBorder="true" applyAlignment="true" applyProtection="true">
      <alignment horizontal="general" vertical="center" textRotation="0" wrapText="false" indent="0" shrinkToFit="true"/>
      <protection locked="true" hidden="true"/>
    </xf>
    <xf numFmtId="164" fontId="0" fillId="0" borderId="49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0" borderId="50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5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8" borderId="52" xfId="0" applyFont="false" applyBorder="true" applyAlignment="true" applyProtection="true">
      <alignment horizontal="left" vertical="center" textRotation="0" wrapText="false" indent="0" shrinkToFit="true"/>
      <protection locked="true" hidden="true"/>
    </xf>
    <xf numFmtId="164" fontId="0" fillId="9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9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55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5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56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7" fontId="0" fillId="8" borderId="57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58" xfId="0" applyFont="false" applyBorder="true" applyAlignment="true" applyProtection="true">
      <alignment horizontal="right" vertical="center" textRotation="0" wrapText="false" indent="14" shrinkToFit="true"/>
      <protection locked="true" hidden="true"/>
    </xf>
    <xf numFmtId="164" fontId="0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57" xfId="0" applyFont="false" applyBorder="true" applyAlignment="true" applyProtection="true">
      <alignment horizontal="left" vertical="center" textRotation="0" wrapText="false" indent="14" shrinkToFit="true"/>
      <protection locked="true" hidden="true"/>
    </xf>
    <xf numFmtId="164" fontId="0" fillId="8" borderId="58" xfId="0" applyFont="true" applyBorder="true" applyAlignment="true" applyProtection="true">
      <alignment horizontal="right" vertical="center" textRotation="0" wrapText="false" indent="0" shrinkToFit="true"/>
      <protection locked="true" hidden="true"/>
    </xf>
    <xf numFmtId="164" fontId="0" fillId="8" borderId="60" xfId="0" applyFont="false" applyBorder="true" applyAlignment="true" applyProtection="true">
      <alignment horizontal="left" vertical="center" textRotation="0" wrapText="false" indent="0" shrinkToFit="true"/>
      <protection locked="true" hidden="true"/>
    </xf>
    <xf numFmtId="164" fontId="0" fillId="9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9" borderId="6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63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64" xfId="0" applyFont="false" applyBorder="true" applyAlignment="true" applyProtection="true">
      <alignment horizontal="general" vertical="center" textRotation="0" wrapText="false" indent="0" shrinkToFit="true"/>
      <protection locked="true" hidden="true"/>
    </xf>
    <xf numFmtId="164" fontId="0" fillId="0" borderId="65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0" borderId="66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67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5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center" textRotation="0" wrapText="false" indent="0" shrinkToFit="true"/>
      <protection locked="true" hidden="true"/>
    </xf>
    <xf numFmtId="164" fontId="0" fillId="0" borderId="0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68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69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0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70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center" textRotation="0" wrapText="false" indent="0" shrinkToFit="false"/>
      <protection locked="true" hidden="true"/>
    </xf>
    <xf numFmtId="164" fontId="16" fillId="0" borderId="71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7" fillId="0" borderId="71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60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72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72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7" fontId="0" fillId="8" borderId="73" xfId="0" applyFont="false" applyBorder="true" applyAlignment="true" applyProtection="true">
      <alignment horizontal="center" vertical="center" textRotation="0" wrapText="false" indent="0" shrinkToFit="true"/>
      <protection locked="true" hidden="true"/>
    </xf>
    <xf numFmtId="164" fontId="0" fillId="8" borderId="62" xfId="0" applyFont="false" applyBorder="true" applyAlignment="true" applyProtection="true">
      <alignment horizontal="right" vertical="center" textRotation="0" wrapText="false" indent="14" shrinkToFit="true"/>
      <protection locked="true" hidden="true"/>
    </xf>
    <xf numFmtId="164" fontId="0" fillId="8" borderId="73" xfId="0" applyFont="false" applyBorder="true" applyAlignment="true" applyProtection="true">
      <alignment horizontal="left" vertical="center" textRotation="0" wrapText="false" indent="14" shrinkToFit="true"/>
      <protection locked="true" hidden="true"/>
    </xf>
    <xf numFmtId="164" fontId="0" fillId="8" borderId="62" xfId="0" applyFont="true" applyBorder="true" applyAlignment="true" applyProtection="true">
      <alignment horizontal="right" vertical="center" textRotation="0" wrapText="false" indent="0" shrinkToFit="true"/>
      <protection locked="true" hidden="true"/>
    </xf>
    <xf numFmtId="168" fontId="0" fillId="0" borderId="37" xfId="0" applyFont="false" applyBorder="true" applyAlignment="true" applyProtection="true">
      <alignment horizontal="general" vertical="center" textRotation="0" wrapText="false" indent="0" shrinkToFit="true"/>
      <protection locked="true" hidden="true"/>
    </xf>
    <xf numFmtId="164" fontId="11" fillId="6" borderId="7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6" borderId="3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dxfs count="71">
    <dxf>
      <fill>
        <patternFill>
          <bgColor rgb="FFFFC000"/>
        </patternFill>
      </fill>
    </dxf>
    <dxf>
      <font>
        <b val="0"/>
        <i val="1"/>
        <color rgb="FF00808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  <color rgb="FF0000FF"/>
      </font>
    </dxf>
    <dxf>
      <font>
        <color rgb="FFFF0000"/>
      </font>
    </dxf>
    <dxf>
      <font>
        <b val="0"/>
        <i val="1"/>
        <color rgb="FF00808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  <dxf>
      <font>
        <b val="1"/>
        <i val="0"/>
        <color rgb="FF0000FF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58ED5"/>
      <rgbColor rgb="FF95B3D7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33" Type="http://schemas.openxmlformats.org/officeDocument/2006/relationships/image" Target="../media/image33.png"/><Relationship Id="rId34" Type="http://schemas.openxmlformats.org/officeDocument/2006/relationships/image" Target="../media/image34.png"/><Relationship Id="rId35" Type="http://schemas.openxmlformats.org/officeDocument/2006/relationships/image" Target="../media/image35.png"/><Relationship Id="rId36" Type="http://schemas.openxmlformats.org/officeDocument/2006/relationships/image" Target="../media/image36.png"/><Relationship Id="rId37" Type="http://schemas.openxmlformats.org/officeDocument/2006/relationships/image" Target="../media/image37.png"/><Relationship Id="rId38" Type="http://schemas.openxmlformats.org/officeDocument/2006/relationships/image" Target="../media/image38.png"/><Relationship Id="rId39" Type="http://schemas.openxmlformats.org/officeDocument/2006/relationships/image" Target="../media/image39.png"/><Relationship Id="rId40" Type="http://schemas.openxmlformats.org/officeDocument/2006/relationships/image" Target="../media/image40.png"/><Relationship Id="rId41" Type="http://schemas.openxmlformats.org/officeDocument/2006/relationships/image" Target="../media/image41.png"/><Relationship Id="rId42" Type="http://schemas.openxmlformats.org/officeDocument/2006/relationships/image" Target="../media/image42.png"/><Relationship Id="rId43" Type="http://schemas.openxmlformats.org/officeDocument/2006/relationships/image" Target="../media/image43.png"/><Relationship Id="rId44" Type="http://schemas.openxmlformats.org/officeDocument/2006/relationships/image" Target="../media/image44.png"/><Relationship Id="rId45" Type="http://schemas.openxmlformats.org/officeDocument/2006/relationships/image" Target="../media/image45.png"/><Relationship Id="rId46" Type="http://schemas.openxmlformats.org/officeDocument/2006/relationships/image" Target="../media/image46.png"/><Relationship Id="rId47" Type="http://schemas.openxmlformats.org/officeDocument/2006/relationships/image" Target="../media/image47.png"/><Relationship Id="rId48" Type="http://schemas.openxmlformats.org/officeDocument/2006/relationships/image" Target="../media/image48.png"/><Relationship Id="rId49" Type="http://schemas.openxmlformats.org/officeDocument/2006/relationships/image" Target="../media/image49.png"/><Relationship Id="rId50" Type="http://schemas.openxmlformats.org/officeDocument/2006/relationships/image" Target="../media/image50.png"/><Relationship Id="rId51" Type="http://schemas.openxmlformats.org/officeDocument/2006/relationships/image" Target="../media/image51.png"/><Relationship Id="rId52" Type="http://schemas.openxmlformats.org/officeDocument/2006/relationships/image" Target="../media/image52.png"/><Relationship Id="rId53" Type="http://schemas.openxmlformats.org/officeDocument/2006/relationships/image" Target="../media/image53.png"/><Relationship Id="rId54" Type="http://schemas.openxmlformats.org/officeDocument/2006/relationships/image" Target="../media/image54.png"/><Relationship Id="rId55" Type="http://schemas.openxmlformats.org/officeDocument/2006/relationships/image" Target="../media/image55.png"/><Relationship Id="rId56" Type="http://schemas.openxmlformats.org/officeDocument/2006/relationships/image" Target="../media/image56.png"/><Relationship Id="rId57" Type="http://schemas.openxmlformats.org/officeDocument/2006/relationships/image" Target="../media/image57.png"/><Relationship Id="rId58" Type="http://schemas.openxmlformats.org/officeDocument/2006/relationships/image" Target="../media/image58.png"/><Relationship Id="rId59" Type="http://schemas.openxmlformats.org/officeDocument/2006/relationships/image" Target="../media/image59.png"/><Relationship Id="rId60" Type="http://schemas.openxmlformats.org/officeDocument/2006/relationships/image" Target="../media/image60.png"/><Relationship Id="rId61" Type="http://schemas.openxmlformats.org/officeDocument/2006/relationships/image" Target="../media/image61.png"/><Relationship Id="rId62" Type="http://schemas.openxmlformats.org/officeDocument/2006/relationships/image" Target="../media/image62.png"/><Relationship Id="rId63" Type="http://schemas.openxmlformats.org/officeDocument/2006/relationships/image" Target="../media/image63.png"/><Relationship Id="rId64" Type="http://schemas.openxmlformats.org/officeDocument/2006/relationships/image" Target="../media/image64.png"/><Relationship Id="rId65" Type="http://schemas.openxmlformats.org/officeDocument/2006/relationships/image" Target="../media/image65.png"/><Relationship Id="rId66" Type="http://schemas.openxmlformats.org/officeDocument/2006/relationships/image" Target="../media/image66.png"/><Relationship Id="rId67" Type="http://schemas.openxmlformats.org/officeDocument/2006/relationships/image" Target="../media/image67.png"/><Relationship Id="rId68" Type="http://schemas.openxmlformats.org/officeDocument/2006/relationships/image" Target="../media/image68.png"/><Relationship Id="rId69" Type="http://schemas.openxmlformats.org/officeDocument/2006/relationships/image" Target="../media/image69.png"/><Relationship Id="rId70" Type="http://schemas.openxmlformats.org/officeDocument/2006/relationships/image" Target="../media/image70.png"/><Relationship Id="rId71" Type="http://schemas.openxmlformats.org/officeDocument/2006/relationships/image" Target="../media/image71.png"/><Relationship Id="rId72" Type="http://schemas.openxmlformats.org/officeDocument/2006/relationships/image" Target="../media/image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1266120</xdr:colOff>
      <xdr:row>8</xdr:row>
      <xdr:rowOff>152280</xdr:rowOff>
    </xdr:from>
    <xdr:to>
      <xdr:col>4</xdr:col>
      <xdr:colOff>1455480</xdr:colOff>
      <xdr:row>10</xdr:row>
      <xdr:rowOff>17280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3533040" y="1476000"/>
          <a:ext cx="189360" cy="189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22</xdr:row>
      <xdr:rowOff>149040</xdr:rowOff>
    </xdr:from>
    <xdr:to>
      <xdr:col>4</xdr:col>
      <xdr:colOff>1456920</xdr:colOff>
      <xdr:row>24</xdr:row>
      <xdr:rowOff>14400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3534480" y="3744360"/>
          <a:ext cx="189360" cy="189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33</xdr:row>
      <xdr:rowOff>147240</xdr:rowOff>
    </xdr:from>
    <xdr:to>
      <xdr:col>7</xdr:col>
      <xdr:colOff>233280</xdr:colOff>
      <xdr:row>35</xdr:row>
      <xdr:rowOff>11880</xdr:rowOff>
    </xdr:to>
    <xdr:pic>
      <xdr:nvPicPr>
        <xdr:cNvPr id="2" name="Picture 6" descr=""/>
        <xdr:cNvPicPr/>
      </xdr:nvPicPr>
      <xdr:blipFill>
        <a:blip r:embed="rId3"/>
        <a:stretch/>
      </xdr:blipFill>
      <xdr:spPr>
        <a:xfrm>
          <a:off x="4701600" y="5525640"/>
          <a:ext cx="189360" cy="189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8</xdr:row>
      <xdr:rowOff>153720</xdr:rowOff>
    </xdr:from>
    <xdr:to>
      <xdr:col>7</xdr:col>
      <xdr:colOff>241920</xdr:colOff>
      <xdr:row>10</xdr:row>
      <xdr:rowOff>21600</xdr:rowOff>
    </xdr:to>
    <xdr:pic>
      <xdr:nvPicPr>
        <xdr:cNvPr id="3" name="Picture 3" descr=""/>
        <xdr:cNvPicPr/>
      </xdr:nvPicPr>
      <xdr:blipFill>
        <a:blip r:embed="rId4"/>
        <a:stretch/>
      </xdr:blipFill>
      <xdr:spPr>
        <a:xfrm>
          <a:off x="4708800" y="14774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21</xdr:row>
      <xdr:rowOff>142920</xdr:rowOff>
    </xdr:from>
    <xdr:to>
      <xdr:col>4</xdr:col>
      <xdr:colOff>1458360</xdr:colOff>
      <xdr:row>23</xdr:row>
      <xdr:rowOff>10080</xdr:rowOff>
    </xdr:to>
    <xdr:pic>
      <xdr:nvPicPr>
        <xdr:cNvPr id="4" name="Picture 8" descr=""/>
        <xdr:cNvPicPr/>
      </xdr:nvPicPr>
      <xdr:blipFill>
        <a:blip r:embed="rId5"/>
        <a:stretch/>
      </xdr:blipFill>
      <xdr:spPr>
        <a:xfrm>
          <a:off x="3534480" y="357552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32</xdr:row>
      <xdr:rowOff>147240</xdr:rowOff>
    </xdr:from>
    <xdr:to>
      <xdr:col>4</xdr:col>
      <xdr:colOff>1458360</xdr:colOff>
      <xdr:row>34</xdr:row>
      <xdr:rowOff>15480</xdr:rowOff>
    </xdr:to>
    <xdr:pic>
      <xdr:nvPicPr>
        <xdr:cNvPr id="5" name="Picture 9" descr=""/>
        <xdr:cNvPicPr/>
      </xdr:nvPicPr>
      <xdr:blipFill>
        <a:blip r:embed="rId6"/>
        <a:stretch/>
      </xdr:blipFill>
      <xdr:spPr>
        <a:xfrm>
          <a:off x="3534480" y="53636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9</xdr:row>
      <xdr:rowOff>146520</xdr:rowOff>
    </xdr:from>
    <xdr:to>
      <xdr:col>4</xdr:col>
      <xdr:colOff>1458360</xdr:colOff>
      <xdr:row>11</xdr:row>
      <xdr:rowOff>14040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3534480" y="16322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22</xdr:row>
      <xdr:rowOff>149040</xdr:rowOff>
    </xdr:from>
    <xdr:to>
      <xdr:col>7</xdr:col>
      <xdr:colOff>234720</xdr:colOff>
      <xdr:row>24</xdr:row>
      <xdr:rowOff>17280</xdr:rowOff>
    </xdr:to>
    <xdr:pic>
      <xdr:nvPicPr>
        <xdr:cNvPr id="7" name="Picture 11" descr=""/>
        <xdr:cNvPicPr/>
      </xdr:nvPicPr>
      <xdr:blipFill>
        <a:blip r:embed="rId8"/>
        <a:stretch/>
      </xdr:blipFill>
      <xdr:spPr>
        <a:xfrm>
          <a:off x="4701600" y="374436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32</xdr:row>
      <xdr:rowOff>147240</xdr:rowOff>
    </xdr:from>
    <xdr:to>
      <xdr:col>7</xdr:col>
      <xdr:colOff>234720</xdr:colOff>
      <xdr:row>34</xdr:row>
      <xdr:rowOff>15480</xdr:rowOff>
    </xdr:to>
    <xdr:pic>
      <xdr:nvPicPr>
        <xdr:cNvPr id="8" name="Picture 12" descr=""/>
        <xdr:cNvPicPr/>
      </xdr:nvPicPr>
      <xdr:blipFill>
        <a:blip r:embed="rId9"/>
        <a:stretch/>
      </xdr:blipFill>
      <xdr:spPr>
        <a:xfrm>
          <a:off x="4701600" y="53636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9</xdr:row>
      <xdr:rowOff>153720</xdr:rowOff>
    </xdr:from>
    <xdr:to>
      <xdr:col>7</xdr:col>
      <xdr:colOff>241920</xdr:colOff>
      <xdr:row>11</xdr:row>
      <xdr:rowOff>21240</xdr:rowOff>
    </xdr:to>
    <xdr:pic>
      <xdr:nvPicPr>
        <xdr:cNvPr id="9" name="Picture 10" descr=""/>
        <xdr:cNvPicPr/>
      </xdr:nvPicPr>
      <xdr:blipFill>
        <a:blip r:embed="rId10"/>
        <a:stretch/>
      </xdr:blipFill>
      <xdr:spPr>
        <a:xfrm>
          <a:off x="4708800" y="16394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21</xdr:row>
      <xdr:rowOff>150120</xdr:rowOff>
    </xdr:from>
    <xdr:to>
      <xdr:col>7</xdr:col>
      <xdr:colOff>234720</xdr:colOff>
      <xdr:row>23</xdr:row>
      <xdr:rowOff>17280</xdr:rowOff>
    </xdr:to>
    <xdr:pic>
      <xdr:nvPicPr>
        <xdr:cNvPr id="10" name="Picture 15" descr=""/>
        <xdr:cNvPicPr/>
      </xdr:nvPicPr>
      <xdr:blipFill>
        <a:blip r:embed="rId11"/>
        <a:stretch/>
      </xdr:blipFill>
      <xdr:spPr>
        <a:xfrm>
          <a:off x="4701600" y="358272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33</xdr:row>
      <xdr:rowOff>140040</xdr:rowOff>
    </xdr:from>
    <xdr:to>
      <xdr:col>4</xdr:col>
      <xdr:colOff>1458360</xdr:colOff>
      <xdr:row>35</xdr:row>
      <xdr:rowOff>7560</xdr:rowOff>
    </xdr:to>
    <xdr:pic>
      <xdr:nvPicPr>
        <xdr:cNvPr id="11" name="Picture 16" descr=""/>
        <xdr:cNvPicPr/>
      </xdr:nvPicPr>
      <xdr:blipFill>
        <a:blip r:embed="rId12"/>
        <a:stretch/>
      </xdr:blipFill>
      <xdr:spPr>
        <a:xfrm>
          <a:off x="3534480" y="55184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10</xdr:row>
      <xdr:rowOff>153000</xdr:rowOff>
    </xdr:from>
    <xdr:to>
      <xdr:col>4</xdr:col>
      <xdr:colOff>1458360</xdr:colOff>
      <xdr:row>12</xdr:row>
      <xdr:rowOff>20880</xdr:rowOff>
    </xdr:to>
    <xdr:pic>
      <xdr:nvPicPr>
        <xdr:cNvPr id="12" name="Picture 14" descr=""/>
        <xdr:cNvPicPr/>
      </xdr:nvPicPr>
      <xdr:blipFill>
        <a:blip r:embed="rId13"/>
        <a:stretch/>
      </xdr:blipFill>
      <xdr:spPr>
        <a:xfrm>
          <a:off x="3534480" y="1801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23</xdr:row>
      <xdr:rowOff>148680</xdr:rowOff>
    </xdr:from>
    <xdr:to>
      <xdr:col>7</xdr:col>
      <xdr:colOff>234720</xdr:colOff>
      <xdr:row>25</xdr:row>
      <xdr:rowOff>17280</xdr:rowOff>
    </xdr:to>
    <xdr:pic>
      <xdr:nvPicPr>
        <xdr:cNvPr id="13" name="Picture 18" descr=""/>
        <xdr:cNvPicPr/>
      </xdr:nvPicPr>
      <xdr:blipFill>
        <a:blip r:embed="rId14"/>
        <a:stretch/>
      </xdr:blipFill>
      <xdr:spPr>
        <a:xfrm>
          <a:off x="4701600" y="390636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34</xdr:row>
      <xdr:rowOff>146880</xdr:rowOff>
    </xdr:from>
    <xdr:to>
      <xdr:col>7</xdr:col>
      <xdr:colOff>241920</xdr:colOff>
      <xdr:row>36</xdr:row>
      <xdr:rowOff>14400</xdr:rowOff>
    </xdr:to>
    <xdr:pic>
      <xdr:nvPicPr>
        <xdr:cNvPr id="14" name="Picture 19" descr=""/>
        <xdr:cNvPicPr/>
      </xdr:nvPicPr>
      <xdr:blipFill>
        <a:blip r:embed="rId15"/>
        <a:stretch/>
      </xdr:blipFill>
      <xdr:spPr>
        <a:xfrm>
          <a:off x="4708800" y="56876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10</xdr:row>
      <xdr:rowOff>153000</xdr:rowOff>
    </xdr:from>
    <xdr:to>
      <xdr:col>7</xdr:col>
      <xdr:colOff>241920</xdr:colOff>
      <xdr:row>12</xdr:row>
      <xdr:rowOff>20880</xdr:rowOff>
    </xdr:to>
    <xdr:pic>
      <xdr:nvPicPr>
        <xdr:cNvPr id="15" name="Picture 17" descr=""/>
        <xdr:cNvPicPr/>
      </xdr:nvPicPr>
      <xdr:blipFill>
        <a:blip r:embed="rId16"/>
        <a:stretch/>
      </xdr:blipFill>
      <xdr:spPr>
        <a:xfrm>
          <a:off x="4708800" y="1801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20</xdr:row>
      <xdr:rowOff>142920</xdr:rowOff>
    </xdr:from>
    <xdr:to>
      <xdr:col>7</xdr:col>
      <xdr:colOff>241920</xdr:colOff>
      <xdr:row>22</xdr:row>
      <xdr:rowOff>10440</xdr:rowOff>
    </xdr:to>
    <xdr:pic>
      <xdr:nvPicPr>
        <xdr:cNvPr id="16" name="Picture 21" descr=""/>
        <xdr:cNvPicPr/>
      </xdr:nvPicPr>
      <xdr:blipFill>
        <a:blip r:embed="rId17"/>
        <a:stretch/>
      </xdr:blipFill>
      <xdr:spPr>
        <a:xfrm>
          <a:off x="4708800" y="341352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1260360</xdr:colOff>
      <xdr:row>35</xdr:row>
      <xdr:rowOff>146160</xdr:rowOff>
    </xdr:from>
    <xdr:to>
      <xdr:col>4</xdr:col>
      <xdr:colOff>1451160</xdr:colOff>
      <xdr:row>37</xdr:row>
      <xdr:rowOff>14760</xdr:rowOff>
    </xdr:to>
    <xdr:pic>
      <xdr:nvPicPr>
        <xdr:cNvPr id="17" name="Picture 22" descr=""/>
        <xdr:cNvPicPr/>
      </xdr:nvPicPr>
      <xdr:blipFill>
        <a:blip r:embed="rId18"/>
        <a:stretch/>
      </xdr:blipFill>
      <xdr:spPr>
        <a:xfrm>
          <a:off x="3527280" y="58496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11</xdr:row>
      <xdr:rowOff>152640</xdr:rowOff>
    </xdr:from>
    <xdr:to>
      <xdr:col>4</xdr:col>
      <xdr:colOff>1458360</xdr:colOff>
      <xdr:row>13</xdr:row>
      <xdr:rowOff>20880</xdr:rowOff>
    </xdr:to>
    <xdr:pic>
      <xdr:nvPicPr>
        <xdr:cNvPr id="18" name="Picture 20" descr=""/>
        <xdr:cNvPicPr/>
      </xdr:nvPicPr>
      <xdr:blipFill>
        <a:blip r:embed="rId19"/>
        <a:stretch/>
      </xdr:blipFill>
      <xdr:spPr>
        <a:xfrm>
          <a:off x="3534480" y="1963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23</xdr:row>
      <xdr:rowOff>148680</xdr:rowOff>
    </xdr:from>
    <xdr:to>
      <xdr:col>4</xdr:col>
      <xdr:colOff>1458360</xdr:colOff>
      <xdr:row>25</xdr:row>
      <xdr:rowOff>17280</xdr:rowOff>
    </xdr:to>
    <xdr:pic>
      <xdr:nvPicPr>
        <xdr:cNvPr id="19" name="Picture 24" descr=""/>
        <xdr:cNvPicPr/>
      </xdr:nvPicPr>
      <xdr:blipFill>
        <a:blip r:embed="rId20"/>
        <a:stretch/>
      </xdr:blipFill>
      <xdr:spPr>
        <a:xfrm>
          <a:off x="3534480" y="390636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35</xdr:row>
      <xdr:rowOff>146160</xdr:rowOff>
    </xdr:from>
    <xdr:to>
      <xdr:col>7</xdr:col>
      <xdr:colOff>241920</xdr:colOff>
      <xdr:row>37</xdr:row>
      <xdr:rowOff>14760</xdr:rowOff>
    </xdr:to>
    <xdr:pic>
      <xdr:nvPicPr>
        <xdr:cNvPr id="20" name="Picture 25" descr=""/>
        <xdr:cNvPicPr/>
      </xdr:nvPicPr>
      <xdr:blipFill>
        <a:blip r:embed="rId21"/>
        <a:stretch/>
      </xdr:blipFill>
      <xdr:spPr>
        <a:xfrm>
          <a:off x="4708800" y="58496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11</xdr:row>
      <xdr:rowOff>152640</xdr:rowOff>
    </xdr:from>
    <xdr:to>
      <xdr:col>7</xdr:col>
      <xdr:colOff>234720</xdr:colOff>
      <xdr:row>13</xdr:row>
      <xdr:rowOff>20880</xdr:rowOff>
    </xdr:to>
    <xdr:pic>
      <xdr:nvPicPr>
        <xdr:cNvPr id="21" name="Picture 23" descr=""/>
        <xdr:cNvPicPr/>
      </xdr:nvPicPr>
      <xdr:blipFill>
        <a:blip r:embed="rId22"/>
        <a:stretch/>
      </xdr:blipFill>
      <xdr:spPr>
        <a:xfrm>
          <a:off x="4701600" y="1963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20</xdr:row>
      <xdr:rowOff>142920</xdr:rowOff>
    </xdr:from>
    <xdr:to>
      <xdr:col>4</xdr:col>
      <xdr:colOff>1458360</xdr:colOff>
      <xdr:row>22</xdr:row>
      <xdr:rowOff>10440</xdr:rowOff>
    </xdr:to>
    <xdr:pic>
      <xdr:nvPicPr>
        <xdr:cNvPr id="22" name="Picture 27" descr=""/>
        <xdr:cNvPicPr/>
      </xdr:nvPicPr>
      <xdr:blipFill>
        <a:blip r:embed="rId23"/>
        <a:stretch/>
      </xdr:blipFill>
      <xdr:spPr>
        <a:xfrm>
          <a:off x="3534480" y="341352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34</xdr:row>
      <xdr:rowOff>139680</xdr:rowOff>
    </xdr:from>
    <xdr:to>
      <xdr:col>4</xdr:col>
      <xdr:colOff>1458360</xdr:colOff>
      <xdr:row>36</xdr:row>
      <xdr:rowOff>7200</xdr:rowOff>
    </xdr:to>
    <xdr:pic>
      <xdr:nvPicPr>
        <xdr:cNvPr id="23" name="Picture 28" descr=""/>
        <xdr:cNvPicPr/>
      </xdr:nvPicPr>
      <xdr:blipFill>
        <a:blip r:embed="rId24"/>
        <a:stretch/>
      </xdr:blipFill>
      <xdr:spPr>
        <a:xfrm>
          <a:off x="3534480" y="5680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12</xdr:row>
      <xdr:rowOff>152280</xdr:rowOff>
    </xdr:from>
    <xdr:to>
      <xdr:col>4</xdr:col>
      <xdr:colOff>1458360</xdr:colOff>
      <xdr:row>14</xdr:row>
      <xdr:rowOff>20520</xdr:rowOff>
    </xdr:to>
    <xdr:pic>
      <xdr:nvPicPr>
        <xdr:cNvPr id="24" name="Picture 26" descr=""/>
        <xdr:cNvPicPr/>
      </xdr:nvPicPr>
      <xdr:blipFill>
        <a:blip r:embed="rId25"/>
        <a:stretch/>
      </xdr:blipFill>
      <xdr:spPr>
        <a:xfrm>
          <a:off x="3534480" y="2125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28</xdr:row>
      <xdr:rowOff>147240</xdr:rowOff>
    </xdr:from>
    <xdr:to>
      <xdr:col>7</xdr:col>
      <xdr:colOff>234720</xdr:colOff>
      <xdr:row>30</xdr:row>
      <xdr:rowOff>16200</xdr:rowOff>
    </xdr:to>
    <xdr:pic>
      <xdr:nvPicPr>
        <xdr:cNvPr id="25" name="Picture 30" descr=""/>
        <xdr:cNvPicPr/>
      </xdr:nvPicPr>
      <xdr:blipFill>
        <a:blip r:embed="rId26"/>
        <a:stretch/>
      </xdr:blipFill>
      <xdr:spPr>
        <a:xfrm>
          <a:off x="4701600" y="47160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38</xdr:row>
      <xdr:rowOff>145440</xdr:rowOff>
    </xdr:from>
    <xdr:to>
      <xdr:col>7</xdr:col>
      <xdr:colOff>234720</xdr:colOff>
      <xdr:row>40</xdr:row>
      <xdr:rowOff>6120</xdr:rowOff>
    </xdr:to>
    <xdr:pic>
      <xdr:nvPicPr>
        <xdr:cNvPr id="26" name="Picture 31" descr=""/>
        <xdr:cNvPicPr/>
      </xdr:nvPicPr>
      <xdr:blipFill>
        <a:blip r:embed="rId27"/>
        <a:stretch/>
      </xdr:blipFill>
      <xdr:spPr>
        <a:xfrm>
          <a:off x="4701600" y="6335280"/>
          <a:ext cx="190800" cy="194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12</xdr:row>
      <xdr:rowOff>152280</xdr:rowOff>
    </xdr:from>
    <xdr:to>
      <xdr:col>7</xdr:col>
      <xdr:colOff>234720</xdr:colOff>
      <xdr:row>14</xdr:row>
      <xdr:rowOff>20520</xdr:rowOff>
    </xdr:to>
    <xdr:pic>
      <xdr:nvPicPr>
        <xdr:cNvPr id="27" name="Picture 29" descr=""/>
        <xdr:cNvPicPr/>
      </xdr:nvPicPr>
      <xdr:blipFill>
        <a:blip r:embed="rId28"/>
        <a:stretch/>
      </xdr:blipFill>
      <xdr:spPr>
        <a:xfrm>
          <a:off x="4701600" y="2125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27</xdr:row>
      <xdr:rowOff>147240</xdr:rowOff>
    </xdr:from>
    <xdr:to>
      <xdr:col>7</xdr:col>
      <xdr:colOff>234720</xdr:colOff>
      <xdr:row>29</xdr:row>
      <xdr:rowOff>16200</xdr:rowOff>
    </xdr:to>
    <xdr:pic>
      <xdr:nvPicPr>
        <xdr:cNvPr id="28" name="Picture 33" descr=""/>
        <xdr:cNvPicPr/>
      </xdr:nvPicPr>
      <xdr:blipFill>
        <a:blip r:embed="rId29"/>
        <a:stretch/>
      </xdr:blipFill>
      <xdr:spPr>
        <a:xfrm>
          <a:off x="4701600" y="45540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39</xdr:row>
      <xdr:rowOff>145080</xdr:rowOff>
    </xdr:from>
    <xdr:to>
      <xdr:col>4</xdr:col>
      <xdr:colOff>1458360</xdr:colOff>
      <xdr:row>41</xdr:row>
      <xdr:rowOff>6480</xdr:rowOff>
    </xdr:to>
    <xdr:pic>
      <xdr:nvPicPr>
        <xdr:cNvPr id="29" name="Picture 34" descr=""/>
        <xdr:cNvPicPr/>
      </xdr:nvPicPr>
      <xdr:blipFill>
        <a:blip r:embed="rId30"/>
        <a:stretch/>
      </xdr:blipFill>
      <xdr:spPr>
        <a:xfrm>
          <a:off x="3534480" y="6497280"/>
          <a:ext cx="190800" cy="194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13</xdr:row>
      <xdr:rowOff>152280</xdr:rowOff>
    </xdr:from>
    <xdr:to>
      <xdr:col>4</xdr:col>
      <xdr:colOff>1458360</xdr:colOff>
      <xdr:row>15</xdr:row>
      <xdr:rowOff>19800</xdr:rowOff>
    </xdr:to>
    <xdr:pic>
      <xdr:nvPicPr>
        <xdr:cNvPr id="30" name="Picture 32" descr=""/>
        <xdr:cNvPicPr/>
      </xdr:nvPicPr>
      <xdr:blipFill>
        <a:blip r:embed="rId31"/>
        <a:stretch/>
      </xdr:blipFill>
      <xdr:spPr>
        <a:xfrm>
          <a:off x="3534480" y="2287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25</xdr:row>
      <xdr:rowOff>148680</xdr:rowOff>
    </xdr:from>
    <xdr:to>
      <xdr:col>7</xdr:col>
      <xdr:colOff>227520</xdr:colOff>
      <xdr:row>27</xdr:row>
      <xdr:rowOff>15840</xdr:rowOff>
    </xdr:to>
    <xdr:pic>
      <xdr:nvPicPr>
        <xdr:cNvPr id="31" name="Picture 36" descr=""/>
        <xdr:cNvPicPr/>
      </xdr:nvPicPr>
      <xdr:blipFill>
        <a:blip r:embed="rId32"/>
        <a:stretch/>
      </xdr:blipFill>
      <xdr:spPr>
        <a:xfrm>
          <a:off x="4694400" y="423036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36</xdr:row>
      <xdr:rowOff>145800</xdr:rowOff>
    </xdr:from>
    <xdr:to>
      <xdr:col>7</xdr:col>
      <xdr:colOff>241920</xdr:colOff>
      <xdr:row>38</xdr:row>
      <xdr:rowOff>14040</xdr:rowOff>
    </xdr:to>
    <xdr:pic>
      <xdr:nvPicPr>
        <xdr:cNvPr id="32" name="Picture 37" descr=""/>
        <xdr:cNvPicPr/>
      </xdr:nvPicPr>
      <xdr:blipFill>
        <a:blip r:embed="rId33"/>
        <a:stretch/>
      </xdr:blipFill>
      <xdr:spPr>
        <a:xfrm>
          <a:off x="4708800" y="60112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13</xdr:row>
      <xdr:rowOff>152280</xdr:rowOff>
    </xdr:from>
    <xdr:to>
      <xdr:col>7</xdr:col>
      <xdr:colOff>234720</xdr:colOff>
      <xdr:row>15</xdr:row>
      <xdr:rowOff>19800</xdr:rowOff>
    </xdr:to>
    <xdr:pic>
      <xdr:nvPicPr>
        <xdr:cNvPr id="33" name="Picture 35" descr=""/>
        <xdr:cNvPicPr/>
      </xdr:nvPicPr>
      <xdr:blipFill>
        <a:blip r:embed="rId34"/>
        <a:stretch/>
      </xdr:blipFill>
      <xdr:spPr>
        <a:xfrm>
          <a:off x="4701600" y="2287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24</xdr:row>
      <xdr:rowOff>148680</xdr:rowOff>
    </xdr:from>
    <xdr:to>
      <xdr:col>7</xdr:col>
      <xdr:colOff>227520</xdr:colOff>
      <xdr:row>26</xdr:row>
      <xdr:rowOff>16560</xdr:rowOff>
    </xdr:to>
    <xdr:pic>
      <xdr:nvPicPr>
        <xdr:cNvPr id="34" name="Picture 39" descr=""/>
        <xdr:cNvPicPr/>
      </xdr:nvPicPr>
      <xdr:blipFill>
        <a:blip r:embed="rId35"/>
        <a:stretch/>
      </xdr:blipFill>
      <xdr:spPr>
        <a:xfrm>
          <a:off x="4694400" y="406836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37</xdr:row>
      <xdr:rowOff>138960</xdr:rowOff>
    </xdr:from>
    <xdr:to>
      <xdr:col>4</xdr:col>
      <xdr:colOff>1458360</xdr:colOff>
      <xdr:row>39</xdr:row>
      <xdr:rowOff>6480</xdr:rowOff>
    </xdr:to>
    <xdr:pic>
      <xdr:nvPicPr>
        <xdr:cNvPr id="35" name="Picture 40" descr=""/>
        <xdr:cNvPicPr/>
      </xdr:nvPicPr>
      <xdr:blipFill>
        <a:blip r:embed="rId36"/>
        <a:stretch/>
      </xdr:blipFill>
      <xdr:spPr>
        <a:xfrm>
          <a:off x="3534480" y="6166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14</xdr:row>
      <xdr:rowOff>151920</xdr:rowOff>
    </xdr:from>
    <xdr:to>
      <xdr:col>4</xdr:col>
      <xdr:colOff>1458360</xdr:colOff>
      <xdr:row>16</xdr:row>
      <xdr:rowOff>19800</xdr:rowOff>
    </xdr:to>
    <xdr:pic>
      <xdr:nvPicPr>
        <xdr:cNvPr id="36" name="Picture 38" descr=""/>
        <xdr:cNvPicPr/>
      </xdr:nvPicPr>
      <xdr:blipFill>
        <a:blip r:embed="rId37"/>
        <a:stretch/>
      </xdr:blipFill>
      <xdr:spPr>
        <a:xfrm>
          <a:off x="3534480" y="2449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1260360</xdr:colOff>
      <xdr:row>25</xdr:row>
      <xdr:rowOff>141480</xdr:rowOff>
    </xdr:from>
    <xdr:to>
      <xdr:col>4</xdr:col>
      <xdr:colOff>1451160</xdr:colOff>
      <xdr:row>27</xdr:row>
      <xdr:rowOff>8640</xdr:rowOff>
    </xdr:to>
    <xdr:pic>
      <xdr:nvPicPr>
        <xdr:cNvPr id="37" name="Picture 42" descr=""/>
        <xdr:cNvPicPr/>
      </xdr:nvPicPr>
      <xdr:blipFill>
        <a:blip r:embed="rId38"/>
        <a:stretch/>
      </xdr:blipFill>
      <xdr:spPr>
        <a:xfrm>
          <a:off x="3527280" y="422316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51120</xdr:colOff>
      <xdr:row>37</xdr:row>
      <xdr:rowOff>138960</xdr:rowOff>
    </xdr:from>
    <xdr:to>
      <xdr:col>7</xdr:col>
      <xdr:colOff>241920</xdr:colOff>
      <xdr:row>39</xdr:row>
      <xdr:rowOff>6480</xdr:rowOff>
    </xdr:to>
    <xdr:pic>
      <xdr:nvPicPr>
        <xdr:cNvPr id="38" name="Picture 43" descr=""/>
        <xdr:cNvPicPr/>
      </xdr:nvPicPr>
      <xdr:blipFill>
        <a:blip r:embed="rId39"/>
        <a:stretch/>
      </xdr:blipFill>
      <xdr:spPr>
        <a:xfrm>
          <a:off x="4708800" y="6166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14</xdr:row>
      <xdr:rowOff>144720</xdr:rowOff>
    </xdr:from>
    <xdr:to>
      <xdr:col>7</xdr:col>
      <xdr:colOff>234720</xdr:colOff>
      <xdr:row>16</xdr:row>
      <xdr:rowOff>12600</xdr:rowOff>
    </xdr:to>
    <xdr:pic>
      <xdr:nvPicPr>
        <xdr:cNvPr id="39" name="Picture 41" descr=""/>
        <xdr:cNvPicPr/>
      </xdr:nvPicPr>
      <xdr:blipFill>
        <a:blip r:embed="rId40"/>
        <a:stretch/>
      </xdr:blipFill>
      <xdr:spPr>
        <a:xfrm>
          <a:off x="4701600" y="24418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24</xdr:row>
      <xdr:rowOff>141480</xdr:rowOff>
    </xdr:from>
    <xdr:to>
      <xdr:col>4</xdr:col>
      <xdr:colOff>1458360</xdr:colOff>
      <xdr:row>26</xdr:row>
      <xdr:rowOff>9360</xdr:rowOff>
    </xdr:to>
    <xdr:pic>
      <xdr:nvPicPr>
        <xdr:cNvPr id="40" name="Picture 45" descr=""/>
        <xdr:cNvPicPr/>
      </xdr:nvPicPr>
      <xdr:blipFill>
        <a:blip r:embed="rId41"/>
        <a:stretch/>
      </xdr:blipFill>
      <xdr:spPr>
        <a:xfrm>
          <a:off x="3534480" y="406116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1260360</xdr:colOff>
      <xdr:row>36</xdr:row>
      <xdr:rowOff>138600</xdr:rowOff>
    </xdr:from>
    <xdr:to>
      <xdr:col>4</xdr:col>
      <xdr:colOff>1451160</xdr:colOff>
      <xdr:row>38</xdr:row>
      <xdr:rowOff>6840</xdr:rowOff>
    </xdr:to>
    <xdr:pic>
      <xdr:nvPicPr>
        <xdr:cNvPr id="41" name="Picture 46" descr=""/>
        <xdr:cNvPicPr/>
      </xdr:nvPicPr>
      <xdr:blipFill>
        <a:blip r:embed="rId42"/>
        <a:stretch/>
      </xdr:blipFill>
      <xdr:spPr>
        <a:xfrm>
          <a:off x="3527280" y="6004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15</xdr:row>
      <xdr:rowOff>151200</xdr:rowOff>
    </xdr:from>
    <xdr:to>
      <xdr:col>4</xdr:col>
      <xdr:colOff>1458360</xdr:colOff>
      <xdr:row>17</xdr:row>
      <xdr:rowOff>19800</xdr:rowOff>
    </xdr:to>
    <xdr:pic>
      <xdr:nvPicPr>
        <xdr:cNvPr id="42" name="Picture 44" descr=""/>
        <xdr:cNvPicPr/>
      </xdr:nvPicPr>
      <xdr:blipFill>
        <a:blip r:embed="rId43"/>
        <a:stretch/>
      </xdr:blipFill>
      <xdr:spPr>
        <a:xfrm>
          <a:off x="3534480" y="261108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28</xdr:row>
      <xdr:rowOff>147240</xdr:rowOff>
    </xdr:from>
    <xdr:to>
      <xdr:col>4</xdr:col>
      <xdr:colOff>1458360</xdr:colOff>
      <xdr:row>30</xdr:row>
      <xdr:rowOff>16200</xdr:rowOff>
    </xdr:to>
    <xdr:pic>
      <xdr:nvPicPr>
        <xdr:cNvPr id="43" name="Picture 48" descr=""/>
        <xdr:cNvPicPr/>
      </xdr:nvPicPr>
      <xdr:blipFill>
        <a:blip r:embed="rId44"/>
        <a:stretch/>
      </xdr:blipFill>
      <xdr:spPr>
        <a:xfrm>
          <a:off x="3534480" y="47160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39</xdr:row>
      <xdr:rowOff>152640</xdr:rowOff>
    </xdr:from>
    <xdr:to>
      <xdr:col>7</xdr:col>
      <xdr:colOff>234720</xdr:colOff>
      <xdr:row>41</xdr:row>
      <xdr:rowOff>14040</xdr:rowOff>
    </xdr:to>
    <xdr:pic>
      <xdr:nvPicPr>
        <xdr:cNvPr id="44" name="Picture 49" descr=""/>
        <xdr:cNvPicPr/>
      </xdr:nvPicPr>
      <xdr:blipFill>
        <a:blip r:embed="rId45"/>
        <a:stretch/>
      </xdr:blipFill>
      <xdr:spPr>
        <a:xfrm>
          <a:off x="4701600" y="6504840"/>
          <a:ext cx="190800" cy="194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15</xdr:row>
      <xdr:rowOff>151200</xdr:rowOff>
    </xdr:from>
    <xdr:to>
      <xdr:col>7</xdr:col>
      <xdr:colOff>227520</xdr:colOff>
      <xdr:row>17</xdr:row>
      <xdr:rowOff>19800</xdr:rowOff>
    </xdr:to>
    <xdr:pic>
      <xdr:nvPicPr>
        <xdr:cNvPr id="45" name="Picture 47" descr=""/>
        <xdr:cNvPicPr/>
      </xdr:nvPicPr>
      <xdr:blipFill>
        <a:blip r:embed="rId46"/>
        <a:stretch/>
      </xdr:blipFill>
      <xdr:spPr>
        <a:xfrm>
          <a:off x="4694400" y="261108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27</xdr:row>
      <xdr:rowOff>140040</xdr:rowOff>
    </xdr:from>
    <xdr:to>
      <xdr:col>4</xdr:col>
      <xdr:colOff>1458360</xdr:colOff>
      <xdr:row>29</xdr:row>
      <xdr:rowOff>9000</xdr:rowOff>
    </xdr:to>
    <xdr:pic>
      <xdr:nvPicPr>
        <xdr:cNvPr id="46" name="Picture 51" descr=""/>
        <xdr:cNvPicPr/>
      </xdr:nvPicPr>
      <xdr:blipFill>
        <a:blip r:embed="rId47"/>
        <a:stretch/>
      </xdr:blipFill>
      <xdr:spPr>
        <a:xfrm>
          <a:off x="3534480" y="45468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38</xdr:row>
      <xdr:rowOff>153720</xdr:rowOff>
    </xdr:from>
    <xdr:to>
      <xdr:col>4</xdr:col>
      <xdr:colOff>1458360</xdr:colOff>
      <xdr:row>40</xdr:row>
      <xdr:rowOff>13320</xdr:rowOff>
    </xdr:to>
    <xdr:pic>
      <xdr:nvPicPr>
        <xdr:cNvPr id="47" name="Picture 52" descr=""/>
        <xdr:cNvPicPr/>
      </xdr:nvPicPr>
      <xdr:blipFill>
        <a:blip r:embed="rId48"/>
        <a:stretch/>
      </xdr:blipFill>
      <xdr:spPr>
        <a:xfrm>
          <a:off x="3534480" y="6343560"/>
          <a:ext cx="190800" cy="19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16</xdr:row>
      <xdr:rowOff>151200</xdr:rowOff>
    </xdr:from>
    <xdr:to>
      <xdr:col>4</xdr:col>
      <xdr:colOff>1458360</xdr:colOff>
      <xdr:row>18</xdr:row>
      <xdr:rowOff>19080</xdr:rowOff>
    </xdr:to>
    <xdr:pic>
      <xdr:nvPicPr>
        <xdr:cNvPr id="48" name="Picture 50" descr=""/>
        <xdr:cNvPicPr/>
      </xdr:nvPicPr>
      <xdr:blipFill>
        <a:blip r:embed="rId49"/>
        <a:stretch/>
      </xdr:blipFill>
      <xdr:spPr>
        <a:xfrm>
          <a:off x="3534480" y="277308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29</xdr:row>
      <xdr:rowOff>147600</xdr:rowOff>
    </xdr:from>
    <xdr:to>
      <xdr:col>7</xdr:col>
      <xdr:colOff>234720</xdr:colOff>
      <xdr:row>31</xdr:row>
      <xdr:rowOff>15840</xdr:rowOff>
    </xdr:to>
    <xdr:pic>
      <xdr:nvPicPr>
        <xdr:cNvPr id="49" name="Picture 54" descr=""/>
        <xdr:cNvPicPr/>
      </xdr:nvPicPr>
      <xdr:blipFill>
        <a:blip r:embed="rId50"/>
        <a:stretch/>
      </xdr:blipFill>
      <xdr:spPr>
        <a:xfrm>
          <a:off x="4701600" y="487800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42</xdr:row>
      <xdr:rowOff>145080</xdr:rowOff>
    </xdr:from>
    <xdr:to>
      <xdr:col>7</xdr:col>
      <xdr:colOff>227520</xdr:colOff>
      <xdr:row>44</xdr:row>
      <xdr:rowOff>13320</xdr:rowOff>
    </xdr:to>
    <xdr:pic>
      <xdr:nvPicPr>
        <xdr:cNvPr id="50" name="Picture 55" descr=""/>
        <xdr:cNvPicPr/>
      </xdr:nvPicPr>
      <xdr:blipFill>
        <a:blip r:embed="rId51"/>
        <a:stretch/>
      </xdr:blipFill>
      <xdr:spPr>
        <a:xfrm>
          <a:off x="4694400" y="69926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16</xdr:row>
      <xdr:rowOff>151200</xdr:rowOff>
    </xdr:from>
    <xdr:to>
      <xdr:col>7</xdr:col>
      <xdr:colOff>227520</xdr:colOff>
      <xdr:row>18</xdr:row>
      <xdr:rowOff>19080</xdr:rowOff>
    </xdr:to>
    <xdr:pic>
      <xdr:nvPicPr>
        <xdr:cNvPr id="51" name="Picture 53" descr=""/>
        <xdr:cNvPicPr/>
      </xdr:nvPicPr>
      <xdr:blipFill>
        <a:blip r:embed="rId52"/>
        <a:stretch/>
      </xdr:blipFill>
      <xdr:spPr>
        <a:xfrm>
          <a:off x="4694400" y="277308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26</xdr:row>
      <xdr:rowOff>147960</xdr:rowOff>
    </xdr:from>
    <xdr:to>
      <xdr:col>7</xdr:col>
      <xdr:colOff>234720</xdr:colOff>
      <xdr:row>28</xdr:row>
      <xdr:rowOff>15840</xdr:rowOff>
    </xdr:to>
    <xdr:pic>
      <xdr:nvPicPr>
        <xdr:cNvPr id="52" name="Picture 57" descr=""/>
        <xdr:cNvPicPr/>
      </xdr:nvPicPr>
      <xdr:blipFill>
        <a:blip r:embed="rId53"/>
        <a:stretch/>
      </xdr:blipFill>
      <xdr:spPr>
        <a:xfrm>
          <a:off x="4701600" y="43920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1274760</xdr:colOff>
      <xdr:row>43</xdr:row>
      <xdr:rowOff>137520</xdr:rowOff>
    </xdr:from>
    <xdr:to>
      <xdr:col>4</xdr:col>
      <xdr:colOff>1465560</xdr:colOff>
      <xdr:row>45</xdr:row>
      <xdr:rowOff>6120</xdr:rowOff>
    </xdr:to>
    <xdr:pic>
      <xdr:nvPicPr>
        <xdr:cNvPr id="53" name="Picture 58" descr=""/>
        <xdr:cNvPicPr/>
      </xdr:nvPicPr>
      <xdr:blipFill>
        <a:blip r:embed="rId54"/>
        <a:stretch/>
      </xdr:blipFill>
      <xdr:spPr>
        <a:xfrm>
          <a:off x="3541680" y="71470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17</xdr:row>
      <xdr:rowOff>151200</xdr:rowOff>
    </xdr:from>
    <xdr:to>
      <xdr:col>4</xdr:col>
      <xdr:colOff>1458360</xdr:colOff>
      <xdr:row>19</xdr:row>
      <xdr:rowOff>18360</xdr:rowOff>
    </xdr:to>
    <xdr:pic>
      <xdr:nvPicPr>
        <xdr:cNvPr id="54" name="Picture 56" descr=""/>
        <xdr:cNvPicPr/>
      </xdr:nvPicPr>
      <xdr:blipFill>
        <a:blip r:embed="rId55"/>
        <a:stretch/>
      </xdr:blipFill>
      <xdr:spPr>
        <a:xfrm>
          <a:off x="3534480" y="29347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29</xdr:row>
      <xdr:rowOff>147600</xdr:rowOff>
    </xdr:from>
    <xdr:to>
      <xdr:col>4</xdr:col>
      <xdr:colOff>1458360</xdr:colOff>
      <xdr:row>31</xdr:row>
      <xdr:rowOff>15840</xdr:rowOff>
    </xdr:to>
    <xdr:pic>
      <xdr:nvPicPr>
        <xdr:cNvPr id="55" name="Picture 60" descr=""/>
        <xdr:cNvPicPr/>
      </xdr:nvPicPr>
      <xdr:blipFill>
        <a:blip r:embed="rId56"/>
        <a:stretch/>
      </xdr:blipFill>
      <xdr:spPr>
        <a:xfrm>
          <a:off x="3534480" y="487800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43</xdr:row>
      <xdr:rowOff>144720</xdr:rowOff>
    </xdr:from>
    <xdr:to>
      <xdr:col>7</xdr:col>
      <xdr:colOff>227520</xdr:colOff>
      <xdr:row>45</xdr:row>
      <xdr:rowOff>13320</xdr:rowOff>
    </xdr:to>
    <xdr:pic>
      <xdr:nvPicPr>
        <xdr:cNvPr id="56" name="Picture 61" descr=""/>
        <xdr:cNvPicPr/>
      </xdr:nvPicPr>
      <xdr:blipFill>
        <a:blip r:embed="rId57"/>
        <a:stretch/>
      </xdr:blipFill>
      <xdr:spPr>
        <a:xfrm>
          <a:off x="4694400" y="715428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17</xdr:row>
      <xdr:rowOff>151200</xdr:rowOff>
    </xdr:from>
    <xdr:to>
      <xdr:col>7</xdr:col>
      <xdr:colOff>227520</xdr:colOff>
      <xdr:row>19</xdr:row>
      <xdr:rowOff>18360</xdr:rowOff>
    </xdr:to>
    <xdr:pic>
      <xdr:nvPicPr>
        <xdr:cNvPr id="57" name="Picture 59" descr=""/>
        <xdr:cNvPicPr/>
      </xdr:nvPicPr>
      <xdr:blipFill>
        <a:blip r:embed="rId58"/>
        <a:stretch/>
      </xdr:blipFill>
      <xdr:spPr>
        <a:xfrm>
          <a:off x="4694400" y="29347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26</xdr:row>
      <xdr:rowOff>140760</xdr:rowOff>
    </xdr:from>
    <xdr:to>
      <xdr:col>4</xdr:col>
      <xdr:colOff>1458360</xdr:colOff>
      <xdr:row>28</xdr:row>
      <xdr:rowOff>8640</xdr:rowOff>
    </xdr:to>
    <xdr:pic>
      <xdr:nvPicPr>
        <xdr:cNvPr id="58" name="Picture 63" descr=""/>
        <xdr:cNvPicPr/>
      </xdr:nvPicPr>
      <xdr:blipFill>
        <a:blip r:embed="rId59"/>
        <a:stretch/>
      </xdr:blipFill>
      <xdr:spPr>
        <a:xfrm>
          <a:off x="3534480" y="438480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1274760</xdr:colOff>
      <xdr:row>42</xdr:row>
      <xdr:rowOff>137880</xdr:rowOff>
    </xdr:from>
    <xdr:to>
      <xdr:col>4</xdr:col>
      <xdr:colOff>1465560</xdr:colOff>
      <xdr:row>44</xdr:row>
      <xdr:rowOff>6120</xdr:rowOff>
    </xdr:to>
    <xdr:pic>
      <xdr:nvPicPr>
        <xdr:cNvPr id="59" name="Picture 64" descr=""/>
        <xdr:cNvPicPr/>
      </xdr:nvPicPr>
      <xdr:blipFill>
        <a:blip r:embed="rId60"/>
        <a:stretch/>
      </xdr:blipFill>
      <xdr:spPr>
        <a:xfrm>
          <a:off x="3541680" y="6985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18</xdr:row>
      <xdr:rowOff>150480</xdr:rowOff>
    </xdr:from>
    <xdr:to>
      <xdr:col>4</xdr:col>
      <xdr:colOff>1458360</xdr:colOff>
      <xdr:row>20</xdr:row>
      <xdr:rowOff>18720</xdr:rowOff>
    </xdr:to>
    <xdr:pic>
      <xdr:nvPicPr>
        <xdr:cNvPr id="60" name="Picture 62" descr=""/>
        <xdr:cNvPicPr/>
      </xdr:nvPicPr>
      <xdr:blipFill>
        <a:blip r:embed="rId61"/>
        <a:stretch/>
      </xdr:blipFill>
      <xdr:spPr>
        <a:xfrm>
          <a:off x="3534480" y="30967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31</xdr:row>
      <xdr:rowOff>147240</xdr:rowOff>
    </xdr:from>
    <xdr:to>
      <xdr:col>7</xdr:col>
      <xdr:colOff>234720</xdr:colOff>
      <xdr:row>33</xdr:row>
      <xdr:rowOff>15840</xdr:rowOff>
    </xdr:to>
    <xdr:pic>
      <xdr:nvPicPr>
        <xdr:cNvPr id="61" name="Picture 66" descr=""/>
        <xdr:cNvPicPr/>
      </xdr:nvPicPr>
      <xdr:blipFill>
        <a:blip r:embed="rId62"/>
        <a:stretch/>
      </xdr:blipFill>
      <xdr:spPr>
        <a:xfrm>
          <a:off x="4701600" y="52016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40</xdr:row>
      <xdr:rowOff>144720</xdr:rowOff>
    </xdr:from>
    <xdr:to>
      <xdr:col>7</xdr:col>
      <xdr:colOff>227520</xdr:colOff>
      <xdr:row>42</xdr:row>
      <xdr:rowOff>13680</xdr:rowOff>
    </xdr:to>
    <xdr:pic>
      <xdr:nvPicPr>
        <xdr:cNvPr id="62" name="Picture 67" descr=""/>
        <xdr:cNvPicPr/>
      </xdr:nvPicPr>
      <xdr:blipFill>
        <a:blip r:embed="rId63"/>
        <a:stretch/>
      </xdr:blipFill>
      <xdr:spPr>
        <a:xfrm>
          <a:off x="4694400" y="66686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18</xdr:row>
      <xdr:rowOff>143280</xdr:rowOff>
    </xdr:from>
    <xdr:to>
      <xdr:col>7</xdr:col>
      <xdr:colOff>219960</xdr:colOff>
      <xdr:row>20</xdr:row>
      <xdr:rowOff>11520</xdr:rowOff>
    </xdr:to>
    <xdr:pic>
      <xdr:nvPicPr>
        <xdr:cNvPr id="63" name="Picture 23807" descr=""/>
        <xdr:cNvPicPr/>
      </xdr:nvPicPr>
      <xdr:blipFill>
        <a:blip r:embed="rId64"/>
        <a:stretch/>
      </xdr:blipFill>
      <xdr:spPr>
        <a:xfrm>
          <a:off x="4686840" y="30895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30</xdr:row>
      <xdr:rowOff>147600</xdr:rowOff>
    </xdr:from>
    <xdr:to>
      <xdr:col>7</xdr:col>
      <xdr:colOff>227520</xdr:colOff>
      <xdr:row>32</xdr:row>
      <xdr:rowOff>15840</xdr:rowOff>
    </xdr:to>
    <xdr:pic>
      <xdr:nvPicPr>
        <xdr:cNvPr id="64" name="Picture 69" descr=""/>
        <xdr:cNvPicPr/>
      </xdr:nvPicPr>
      <xdr:blipFill>
        <a:blip r:embed="rId65"/>
        <a:stretch/>
      </xdr:blipFill>
      <xdr:spPr>
        <a:xfrm>
          <a:off x="4694400" y="504000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1274760</xdr:colOff>
      <xdr:row>41</xdr:row>
      <xdr:rowOff>137880</xdr:rowOff>
    </xdr:from>
    <xdr:to>
      <xdr:col>4</xdr:col>
      <xdr:colOff>1465560</xdr:colOff>
      <xdr:row>43</xdr:row>
      <xdr:rowOff>6120</xdr:rowOff>
    </xdr:to>
    <xdr:pic>
      <xdr:nvPicPr>
        <xdr:cNvPr id="65" name="Picture 70" descr=""/>
        <xdr:cNvPicPr/>
      </xdr:nvPicPr>
      <xdr:blipFill>
        <a:blip r:embed="rId66"/>
        <a:stretch/>
      </xdr:blipFill>
      <xdr:spPr>
        <a:xfrm>
          <a:off x="3541680" y="68234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19</xdr:row>
      <xdr:rowOff>149760</xdr:rowOff>
    </xdr:from>
    <xdr:to>
      <xdr:col>4</xdr:col>
      <xdr:colOff>1458360</xdr:colOff>
      <xdr:row>21</xdr:row>
      <xdr:rowOff>18720</xdr:rowOff>
    </xdr:to>
    <xdr:pic>
      <xdr:nvPicPr>
        <xdr:cNvPr id="66" name="Picture 23808" descr=""/>
        <xdr:cNvPicPr/>
      </xdr:nvPicPr>
      <xdr:blipFill>
        <a:blip r:embed="rId67"/>
        <a:stretch/>
      </xdr:blipFill>
      <xdr:spPr>
        <a:xfrm>
          <a:off x="3534480" y="32587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31</xdr:row>
      <xdr:rowOff>140040</xdr:rowOff>
    </xdr:from>
    <xdr:to>
      <xdr:col>4</xdr:col>
      <xdr:colOff>1458360</xdr:colOff>
      <xdr:row>33</xdr:row>
      <xdr:rowOff>8640</xdr:rowOff>
    </xdr:to>
    <xdr:pic>
      <xdr:nvPicPr>
        <xdr:cNvPr id="67" name="Picture 72" descr=""/>
        <xdr:cNvPicPr/>
      </xdr:nvPicPr>
      <xdr:blipFill>
        <a:blip r:embed="rId68"/>
        <a:stretch/>
      </xdr:blipFill>
      <xdr:spPr>
        <a:xfrm>
          <a:off x="3534480" y="519444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41</xdr:row>
      <xdr:rowOff>145080</xdr:rowOff>
    </xdr:from>
    <xdr:to>
      <xdr:col>7</xdr:col>
      <xdr:colOff>227520</xdr:colOff>
      <xdr:row>43</xdr:row>
      <xdr:rowOff>13320</xdr:rowOff>
    </xdr:to>
    <xdr:pic>
      <xdr:nvPicPr>
        <xdr:cNvPr id="68" name="Picture 73" descr=""/>
        <xdr:cNvPicPr/>
      </xdr:nvPicPr>
      <xdr:blipFill>
        <a:blip r:embed="rId69"/>
        <a:stretch/>
      </xdr:blipFill>
      <xdr:spPr>
        <a:xfrm>
          <a:off x="4694400" y="683064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19</xdr:row>
      <xdr:rowOff>149760</xdr:rowOff>
    </xdr:from>
    <xdr:to>
      <xdr:col>7</xdr:col>
      <xdr:colOff>227520</xdr:colOff>
      <xdr:row>21</xdr:row>
      <xdr:rowOff>18720</xdr:rowOff>
    </xdr:to>
    <xdr:pic>
      <xdr:nvPicPr>
        <xdr:cNvPr id="69" name="Picture 23809" descr=""/>
        <xdr:cNvPicPr/>
      </xdr:nvPicPr>
      <xdr:blipFill>
        <a:blip r:embed="rId70"/>
        <a:stretch/>
      </xdr:blipFill>
      <xdr:spPr>
        <a:xfrm>
          <a:off x="4694400" y="3258720"/>
          <a:ext cx="190800" cy="1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1267560</xdr:colOff>
      <xdr:row>30</xdr:row>
      <xdr:rowOff>147600</xdr:rowOff>
    </xdr:from>
    <xdr:to>
      <xdr:col>4</xdr:col>
      <xdr:colOff>1458360</xdr:colOff>
      <xdr:row>32</xdr:row>
      <xdr:rowOff>15840</xdr:rowOff>
    </xdr:to>
    <xdr:pic>
      <xdr:nvPicPr>
        <xdr:cNvPr id="70" name="Picture 75" descr=""/>
        <xdr:cNvPicPr/>
      </xdr:nvPicPr>
      <xdr:blipFill>
        <a:blip r:embed="rId71"/>
        <a:stretch/>
      </xdr:blipFill>
      <xdr:spPr>
        <a:xfrm>
          <a:off x="3534480" y="5040000"/>
          <a:ext cx="19080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1274760</xdr:colOff>
      <xdr:row>40</xdr:row>
      <xdr:rowOff>137520</xdr:rowOff>
    </xdr:from>
    <xdr:to>
      <xdr:col>4</xdr:col>
      <xdr:colOff>1465560</xdr:colOff>
      <xdr:row>42</xdr:row>
      <xdr:rowOff>6480</xdr:rowOff>
    </xdr:to>
    <xdr:pic>
      <xdr:nvPicPr>
        <xdr:cNvPr id="71" name="Picture 76" descr=""/>
        <xdr:cNvPicPr/>
      </xdr:nvPicPr>
      <xdr:blipFill>
        <a:blip r:embed="rId72"/>
        <a:stretch/>
      </xdr:blipFill>
      <xdr:spPr>
        <a:xfrm>
          <a:off x="3541680" y="6661440"/>
          <a:ext cx="190800" cy="192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excely.com/football/2016-uefa-euro-2016-schedule.shtml" TargetMode="External"/><Relationship Id="rId2" Type="http://schemas.openxmlformats.org/officeDocument/2006/relationships/hyperlink" Target="http://ads.betfair.com/redirect.aspx?pid=603790&amp;bid=8703" TargetMode="External"/><Relationship Id="rId3" Type="http://schemas.openxmlformats.org/officeDocument/2006/relationships/hyperlink" Target="http://www.anrdoezrs.net/click-7353403-10890103?url=http%3A%2F%2Fwww.ticketnetwork.com%2Ftickets%2Fworld-cup-soccer-tickets.aspx&amp;utm_source=CJ&amp;utm_medium=deeplink" TargetMode="External"/><Relationship Id="rId4" Type="http://schemas.openxmlformats.org/officeDocument/2006/relationships/hyperlink" Target="http://cutmp3.net/" TargetMode="External"/><Relationship Id="rId5" Type="http://schemas.openxmlformats.org/officeDocument/2006/relationships/hyperlink" Target="http://www.xtau.com/" TargetMode="External"/><Relationship Id="rId6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115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42" activePane="bottomLeft" state="frozen"/>
      <selection pane="topLeft" activeCell="A1" activeCellId="0" sqref="A1"/>
      <selection pane="bottomLeft" activeCell="A46" activeCellId="0" sqref="A46"/>
    </sheetView>
  </sheetViews>
  <sheetFormatPr defaultRowHeight="12.75"/>
  <cols>
    <col collapsed="false" hidden="false" max="1025" min="1" style="0" width="8.26785714285714"/>
  </cols>
  <sheetData>
    <row r="1" customFormat="false" ht="12.7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</row>
    <row r="2" customFormat="false" ht="12.75" hidden="false" customHeight="false" outlineLevel="0" collapsed="false">
      <c r="A2" s="1" t="s">
        <v>42</v>
      </c>
      <c r="B2" s="0" t="s">
        <v>43</v>
      </c>
      <c r="C2" s="0" t="s">
        <v>44</v>
      </c>
      <c r="D2" s="0" t="s">
        <v>45</v>
      </c>
      <c r="E2" s="0" t="s">
        <v>46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42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42</v>
      </c>
      <c r="W2" s="0" t="s">
        <v>62</v>
      </c>
      <c r="X2" s="0" t="s">
        <v>63</v>
      </c>
      <c r="Y2" s="0" t="s">
        <v>64</v>
      </c>
      <c r="Z2" s="0" t="s">
        <v>65</v>
      </c>
      <c r="AA2" s="0" t="s">
        <v>66</v>
      </c>
      <c r="AB2" s="0" t="s">
        <v>67</v>
      </c>
      <c r="AC2" s="0" t="s">
        <v>68</v>
      </c>
      <c r="AD2" s="0" t="s">
        <v>69</v>
      </c>
      <c r="AE2" s="0" t="s">
        <v>70</v>
      </c>
      <c r="AF2" s="0" t="s">
        <v>71</v>
      </c>
      <c r="AG2" s="0" t="s">
        <v>72</v>
      </c>
      <c r="AH2" s="0" t="s">
        <v>73</v>
      </c>
      <c r="AI2" s="0" t="s">
        <v>74</v>
      </c>
      <c r="AJ2" s="0" t="s">
        <v>75</v>
      </c>
      <c r="AK2" s="0" t="s">
        <v>76</v>
      </c>
      <c r="AL2" s="0" t="s">
        <v>77</v>
      </c>
      <c r="AM2" s="0" t="s">
        <v>78</v>
      </c>
      <c r="AN2" s="0" t="s">
        <v>79</v>
      </c>
      <c r="AO2" s="1" t="s">
        <v>80</v>
      </c>
      <c r="AP2" s="0" t="s">
        <v>81</v>
      </c>
    </row>
    <row r="3" customFormat="false" ht="12.75" hidden="false" customHeight="false" outlineLevel="0" collapsed="false">
      <c r="A3" s="0" t="s">
        <v>82</v>
      </c>
      <c r="B3" s="0" t="s">
        <v>83</v>
      </c>
      <c r="C3" s="0" t="s">
        <v>84</v>
      </c>
      <c r="D3" s="0" t="s">
        <v>85</v>
      </c>
      <c r="E3" s="0" t="s">
        <v>86</v>
      </c>
      <c r="F3" s="0" t="s">
        <v>87</v>
      </c>
      <c r="G3" s="0" t="s">
        <v>88</v>
      </c>
      <c r="H3" s="2" t="s">
        <v>89</v>
      </c>
      <c r="I3" s="2" t="s">
        <v>90</v>
      </c>
      <c r="J3" s="0" t="s">
        <v>91</v>
      </c>
      <c r="K3" s="0" t="s">
        <v>92</v>
      </c>
      <c r="L3" s="0" t="s">
        <v>93</v>
      </c>
      <c r="M3" s="0" t="s">
        <v>94</v>
      </c>
      <c r="N3" s="0" t="s">
        <v>95</v>
      </c>
      <c r="O3" s="0" t="s">
        <v>96</v>
      </c>
      <c r="P3" s="0" t="s">
        <v>97</v>
      </c>
      <c r="Q3" s="0" t="s">
        <v>98</v>
      </c>
      <c r="R3" s="0" t="s">
        <v>99</v>
      </c>
      <c r="S3" s="0" t="s">
        <v>100</v>
      </c>
      <c r="T3" s="0" t="s">
        <v>101</v>
      </c>
      <c r="U3" s="0" t="s">
        <v>102</v>
      </c>
      <c r="V3" s="0" t="s">
        <v>103</v>
      </c>
      <c r="W3" s="2" t="s">
        <v>104</v>
      </c>
      <c r="X3" s="0" t="s">
        <v>105</v>
      </c>
      <c r="Y3" s="0" t="s">
        <v>106</v>
      </c>
      <c r="Z3" s="0" t="s">
        <v>107</v>
      </c>
      <c r="AA3" s="0" t="s">
        <v>108</v>
      </c>
      <c r="AB3" s="0" t="s">
        <v>109</v>
      </c>
      <c r="AC3" s="0" t="s">
        <v>110</v>
      </c>
      <c r="AD3" s="0" t="s">
        <v>111</v>
      </c>
      <c r="AE3" s="0" t="s">
        <v>112</v>
      </c>
      <c r="AF3" s="0" t="s">
        <v>113</v>
      </c>
      <c r="AG3" s="0" t="s">
        <v>114</v>
      </c>
      <c r="AH3" s="0" t="s">
        <v>115</v>
      </c>
      <c r="AI3" s="0" t="s">
        <v>116</v>
      </c>
      <c r="AJ3" s="0" t="s">
        <v>111</v>
      </c>
      <c r="AK3" s="0" t="s">
        <v>117</v>
      </c>
      <c r="AL3" s="0" t="s">
        <v>118</v>
      </c>
      <c r="AM3" s="0" t="s">
        <v>119</v>
      </c>
      <c r="AN3" s="0" t="s">
        <v>120</v>
      </c>
      <c r="AO3" s="0" t="s">
        <v>121</v>
      </c>
      <c r="AP3" s="0" t="s">
        <v>122</v>
      </c>
    </row>
    <row r="4" customFormat="false" ht="12.75" hidden="false" customHeight="false" outlineLevel="0" collapsed="false">
      <c r="A4" s="0" t="s">
        <v>123</v>
      </c>
      <c r="B4" s="0" t="s">
        <v>124</v>
      </c>
      <c r="C4" s="0" t="s">
        <v>125</v>
      </c>
      <c r="D4" s="0" t="s">
        <v>126</v>
      </c>
      <c r="E4" s="0" t="s">
        <v>127</v>
      </c>
      <c r="F4" s="0" t="s">
        <v>128</v>
      </c>
      <c r="G4" s="0" t="s">
        <v>129</v>
      </c>
      <c r="H4" s="0" t="s">
        <v>130</v>
      </c>
      <c r="I4" s="2" t="s">
        <v>131</v>
      </c>
      <c r="J4" s="0" t="s">
        <v>132</v>
      </c>
      <c r="K4" s="0" t="s">
        <v>133</v>
      </c>
      <c r="L4" s="0" t="s">
        <v>134</v>
      </c>
      <c r="M4" s="0" t="s">
        <v>135</v>
      </c>
      <c r="N4" s="0" t="s">
        <v>136</v>
      </c>
      <c r="O4" s="0" t="s">
        <v>137</v>
      </c>
      <c r="P4" s="0" t="s">
        <v>138</v>
      </c>
      <c r="Q4" s="0" t="s">
        <v>139</v>
      </c>
      <c r="R4" s="0" t="s">
        <v>140</v>
      </c>
      <c r="S4" s="0" t="s">
        <v>141</v>
      </c>
      <c r="T4" s="0" t="s">
        <v>142</v>
      </c>
      <c r="U4" s="0" t="s">
        <v>143</v>
      </c>
      <c r="V4" s="0" t="s">
        <v>144</v>
      </c>
      <c r="W4" s="0" t="s">
        <v>145</v>
      </c>
      <c r="X4" s="0" t="s">
        <v>146</v>
      </c>
      <c r="Y4" s="0" t="s">
        <v>147</v>
      </c>
      <c r="Z4" s="0" t="s">
        <v>148</v>
      </c>
      <c r="AA4" s="0" t="s">
        <v>149</v>
      </c>
      <c r="AB4" s="0" t="s">
        <v>150</v>
      </c>
      <c r="AC4" s="0" t="s">
        <v>151</v>
      </c>
      <c r="AD4" s="0" t="s">
        <v>152</v>
      </c>
      <c r="AE4" s="0" t="s">
        <v>153</v>
      </c>
      <c r="AF4" s="0" t="s">
        <v>154</v>
      </c>
      <c r="AG4" s="0" t="s">
        <v>155</v>
      </c>
      <c r="AH4" s="0" t="s">
        <v>156</v>
      </c>
      <c r="AI4" s="0" t="s">
        <v>157</v>
      </c>
      <c r="AJ4" s="0" t="s">
        <v>158</v>
      </c>
      <c r="AK4" s="0" t="s">
        <v>159</v>
      </c>
      <c r="AL4" s="0" t="s">
        <v>160</v>
      </c>
      <c r="AM4" s="0" t="s">
        <v>161</v>
      </c>
      <c r="AN4" s="0" t="s">
        <v>162</v>
      </c>
      <c r="AO4" s="0" t="s">
        <v>163</v>
      </c>
      <c r="AP4" s="0" t="s">
        <v>164</v>
      </c>
    </row>
    <row r="5" customFormat="false" ht="12.75" hidden="false" customHeight="false" outlineLevel="0" collapsed="false">
      <c r="A5" s="0" t="s">
        <v>165</v>
      </c>
      <c r="B5" s="0" t="s">
        <v>166</v>
      </c>
      <c r="C5" s="0" t="s">
        <v>167</v>
      </c>
      <c r="D5" s="0" t="s">
        <v>168</v>
      </c>
      <c r="E5" s="0" t="s">
        <v>169</v>
      </c>
      <c r="F5" s="0" t="s">
        <v>170</v>
      </c>
      <c r="G5" s="0" t="s">
        <v>171</v>
      </c>
      <c r="H5" s="0" t="s">
        <v>172</v>
      </c>
      <c r="I5" s="2" t="s">
        <v>173</v>
      </c>
      <c r="J5" s="0" t="s">
        <v>174</v>
      </c>
      <c r="K5" s="0" t="s">
        <v>175</v>
      </c>
      <c r="L5" s="0" t="s">
        <v>176</v>
      </c>
      <c r="M5" s="0" t="s">
        <v>177</v>
      </c>
      <c r="N5" s="0" t="s">
        <v>178</v>
      </c>
      <c r="O5" s="0" t="s">
        <v>179</v>
      </c>
      <c r="P5" s="0" t="s">
        <v>180</v>
      </c>
      <c r="Q5" s="0" t="s">
        <v>181</v>
      </c>
      <c r="R5" s="0" t="s">
        <v>182</v>
      </c>
      <c r="S5" s="0" t="s">
        <v>183</v>
      </c>
      <c r="T5" s="0" t="s">
        <v>184</v>
      </c>
      <c r="U5" s="0" t="s">
        <v>185</v>
      </c>
      <c r="V5" s="0" t="s">
        <v>186</v>
      </c>
      <c r="W5" s="0" t="s">
        <v>187</v>
      </c>
      <c r="X5" s="0" t="s">
        <v>188</v>
      </c>
      <c r="Y5" s="0" t="s">
        <v>189</v>
      </c>
      <c r="Z5" s="0" t="s">
        <v>190</v>
      </c>
      <c r="AA5" s="0" t="s">
        <v>176</v>
      </c>
      <c r="AB5" s="0" t="s">
        <v>191</v>
      </c>
      <c r="AC5" s="0" t="s">
        <v>192</v>
      </c>
      <c r="AD5" s="0" t="s">
        <v>193</v>
      </c>
      <c r="AE5" s="0" t="s">
        <v>194</v>
      </c>
      <c r="AF5" s="0" t="s">
        <v>195</v>
      </c>
      <c r="AG5" s="0" t="s">
        <v>174</v>
      </c>
      <c r="AH5" s="0" t="s">
        <v>196</v>
      </c>
      <c r="AI5" s="0" t="s">
        <v>197</v>
      </c>
      <c r="AJ5" s="0" t="s">
        <v>198</v>
      </c>
      <c r="AK5" s="0" t="s">
        <v>199</v>
      </c>
      <c r="AL5" s="0" t="s">
        <v>200</v>
      </c>
      <c r="AM5" s="0" t="s">
        <v>201</v>
      </c>
      <c r="AN5" s="0" t="s">
        <v>202</v>
      </c>
      <c r="AO5" s="0" t="s">
        <v>203</v>
      </c>
      <c r="AP5" s="0" t="s">
        <v>204</v>
      </c>
    </row>
    <row r="6" customFormat="false" ht="12.75" hidden="false" customHeight="false" outlineLevel="0" collapsed="false">
      <c r="A6" s="0" t="s">
        <v>205</v>
      </c>
      <c r="B6" s="0" t="s">
        <v>206</v>
      </c>
      <c r="C6" s="0" t="s">
        <v>207</v>
      </c>
      <c r="D6" s="0" t="s">
        <v>208</v>
      </c>
      <c r="E6" s="0" t="s">
        <v>209</v>
      </c>
      <c r="F6" s="0" t="s">
        <v>210</v>
      </c>
      <c r="G6" s="0" t="s">
        <v>211</v>
      </c>
      <c r="H6" s="2" t="s">
        <v>212</v>
      </c>
      <c r="I6" s="2" t="s">
        <v>213</v>
      </c>
      <c r="J6" s="0" t="s">
        <v>214</v>
      </c>
      <c r="K6" s="0" t="s">
        <v>215</v>
      </c>
      <c r="L6" s="0" t="s">
        <v>216</v>
      </c>
      <c r="M6" s="0" t="s">
        <v>217</v>
      </c>
      <c r="N6" s="0" t="s">
        <v>218</v>
      </c>
      <c r="O6" s="0" t="s">
        <v>219</v>
      </c>
      <c r="P6" s="0" t="s">
        <v>220</v>
      </c>
      <c r="Q6" s="0" t="s">
        <v>221</v>
      </c>
      <c r="R6" s="0" t="s">
        <v>222</v>
      </c>
      <c r="S6" s="0" t="s">
        <v>223</v>
      </c>
      <c r="T6" s="0" t="s">
        <v>224</v>
      </c>
      <c r="U6" s="0" t="s">
        <v>225</v>
      </c>
      <c r="V6" s="0" t="s">
        <v>226</v>
      </c>
      <c r="W6" s="2" t="s">
        <v>227</v>
      </c>
      <c r="X6" s="0" t="s">
        <v>228</v>
      </c>
      <c r="Y6" s="0" t="s">
        <v>229</v>
      </c>
      <c r="Z6" s="0" t="s">
        <v>230</v>
      </c>
      <c r="AA6" s="0" t="s">
        <v>216</v>
      </c>
      <c r="AB6" s="0" t="s">
        <v>231</v>
      </c>
      <c r="AC6" s="0" t="s">
        <v>232</v>
      </c>
      <c r="AD6" s="0" t="s">
        <v>233</v>
      </c>
      <c r="AE6" s="0" t="s">
        <v>216</v>
      </c>
      <c r="AF6" s="0" t="s">
        <v>234</v>
      </c>
      <c r="AG6" s="0" t="s">
        <v>214</v>
      </c>
      <c r="AH6" s="0" t="s">
        <v>215</v>
      </c>
      <c r="AI6" s="0" t="s">
        <v>235</v>
      </c>
      <c r="AJ6" s="0" t="s">
        <v>236</v>
      </c>
      <c r="AK6" s="0" t="s">
        <v>237</v>
      </c>
      <c r="AL6" s="0" t="s">
        <v>238</v>
      </c>
      <c r="AM6" s="0" t="s">
        <v>239</v>
      </c>
      <c r="AN6" s="0" t="s">
        <v>240</v>
      </c>
      <c r="AO6" s="0" t="s">
        <v>241</v>
      </c>
      <c r="AP6" s="0" t="s">
        <v>242</v>
      </c>
    </row>
    <row r="7" customFormat="false" ht="12.75" hidden="false" customHeight="false" outlineLevel="0" collapsed="false">
      <c r="A7" s="0" t="s">
        <v>243</v>
      </c>
      <c r="B7" s="0" t="s">
        <v>244</v>
      </c>
      <c r="C7" s="0" t="s">
        <v>245</v>
      </c>
      <c r="D7" s="0" t="s">
        <v>246</v>
      </c>
      <c r="E7" s="0" t="s">
        <v>247</v>
      </c>
      <c r="F7" s="0" t="s">
        <v>248</v>
      </c>
      <c r="G7" s="0" t="s">
        <v>249</v>
      </c>
      <c r="H7" s="2" t="s">
        <v>250</v>
      </c>
      <c r="I7" s="2" t="s">
        <v>251</v>
      </c>
      <c r="J7" s="0" t="s">
        <v>252</v>
      </c>
      <c r="K7" s="0" t="s">
        <v>253</v>
      </c>
      <c r="L7" s="0" t="s">
        <v>254</v>
      </c>
      <c r="M7" s="0" t="s">
        <v>255</v>
      </c>
      <c r="N7" s="0" t="s">
        <v>256</v>
      </c>
      <c r="O7" s="0" t="s">
        <v>257</v>
      </c>
      <c r="P7" s="0" t="s">
        <v>258</v>
      </c>
      <c r="Q7" s="0" t="s">
        <v>259</v>
      </c>
      <c r="R7" s="0" t="s">
        <v>260</v>
      </c>
      <c r="S7" s="0" t="s">
        <v>261</v>
      </c>
      <c r="T7" s="0" t="s">
        <v>262</v>
      </c>
      <c r="U7" s="0" t="s">
        <v>263</v>
      </c>
      <c r="V7" s="0" t="s">
        <v>264</v>
      </c>
      <c r="W7" s="0" t="s">
        <v>265</v>
      </c>
      <c r="X7" s="0" t="s">
        <v>266</v>
      </c>
      <c r="Y7" s="0" t="s">
        <v>267</v>
      </c>
      <c r="Z7" s="0" t="s">
        <v>268</v>
      </c>
      <c r="AA7" s="0" t="s">
        <v>269</v>
      </c>
      <c r="AB7" s="0" t="s">
        <v>270</v>
      </c>
      <c r="AC7" s="0" t="s">
        <v>271</v>
      </c>
      <c r="AD7" s="0" t="s">
        <v>272</v>
      </c>
      <c r="AE7" s="0" t="s">
        <v>273</v>
      </c>
      <c r="AF7" s="0" t="s">
        <v>274</v>
      </c>
      <c r="AG7" s="0" t="s">
        <v>252</v>
      </c>
      <c r="AH7" s="0" t="s">
        <v>275</v>
      </c>
      <c r="AI7" s="0" t="s">
        <v>276</v>
      </c>
      <c r="AJ7" s="0" t="s">
        <v>277</v>
      </c>
      <c r="AK7" s="0" t="s">
        <v>278</v>
      </c>
      <c r="AL7" s="0" t="s">
        <v>279</v>
      </c>
      <c r="AM7" s="0" t="s">
        <v>280</v>
      </c>
      <c r="AN7" s="0" t="s">
        <v>281</v>
      </c>
      <c r="AO7" s="0" t="s">
        <v>282</v>
      </c>
      <c r="AP7" s="0" t="s">
        <v>283</v>
      </c>
    </row>
    <row r="8" customFormat="false" ht="12.75" hidden="false" customHeight="false" outlineLevel="0" collapsed="false">
      <c r="A8" s="0" t="s">
        <v>284</v>
      </c>
      <c r="B8" s="0" t="s">
        <v>285</v>
      </c>
      <c r="C8" s="0" t="s">
        <v>286</v>
      </c>
      <c r="D8" s="0" t="s">
        <v>287</v>
      </c>
      <c r="E8" s="0" t="s">
        <v>284</v>
      </c>
      <c r="F8" s="0" t="s">
        <v>288</v>
      </c>
      <c r="G8" s="0" t="s">
        <v>284</v>
      </c>
      <c r="H8" s="2" t="s">
        <v>289</v>
      </c>
      <c r="I8" s="2" t="s">
        <v>290</v>
      </c>
      <c r="J8" s="0" t="s">
        <v>291</v>
      </c>
      <c r="K8" s="0" t="s">
        <v>292</v>
      </c>
      <c r="L8" s="0" t="s">
        <v>291</v>
      </c>
      <c r="M8" s="0" t="s">
        <v>291</v>
      </c>
      <c r="N8" s="0" t="s">
        <v>291</v>
      </c>
      <c r="O8" s="0" t="s">
        <v>293</v>
      </c>
      <c r="P8" s="0" t="s">
        <v>291</v>
      </c>
      <c r="Q8" s="0" t="s">
        <v>294</v>
      </c>
      <c r="R8" s="0" t="s">
        <v>295</v>
      </c>
      <c r="S8" s="0" t="s">
        <v>296</v>
      </c>
      <c r="T8" s="0" t="s">
        <v>284</v>
      </c>
      <c r="U8" s="0" t="s">
        <v>297</v>
      </c>
      <c r="V8" s="0" t="s">
        <v>291</v>
      </c>
      <c r="W8" s="2" t="s">
        <v>298</v>
      </c>
      <c r="X8" s="0" t="s">
        <v>299</v>
      </c>
      <c r="Y8" s="0" t="s">
        <v>300</v>
      </c>
      <c r="Z8" s="0" t="s">
        <v>301</v>
      </c>
      <c r="AA8" s="0" t="s">
        <v>291</v>
      </c>
      <c r="AB8" s="0" t="s">
        <v>302</v>
      </c>
      <c r="AC8" s="0" t="s">
        <v>303</v>
      </c>
      <c r="AD8" s="0" t="s">
        <v>284</v>
      </c>
      <c r="AE8" s="0" t="s">
        <v>304</v>
      </c>
      <c r="AF8" s="0" t="s">
        <v>288</v>
      </c>
      <c r="AG8" s="0" t="s">
        <v>291</v>
      </c>
      <c r="AH8" s="0" t="s">
        <v>292</v>
      </c>
      <c r="AI8" s="0" t="s">
        <v>291</v>
      </c>
      <c r="AJ8" s="0" t="s">
        <v>284</v>
      </c>
      <c r="AK8" s="0" t="s">
        <v>284</v>
      </c>
      <c r="AL8" s="0" t="s">
        <v>305</v>
      </c>
      <c r="AM8" s="0" t="s">
        <v>284</v>
      </c>
      <c r="AN8" s="0" t="s">
        <v>306</v>
      </c>
      <c r="AO8" s="0" t="s">
        <v>307</v>
      </c>
      <c r="AP8" s="0" t="s">
        <v>308</v>
      </c>
    </row>
    <row r="9" customFormat="false" ht="12.75" hidden="false" customHeight="false" outlineLevel="0" collapsed="false">
      <c r="A9" s="0" t="s">
        <v>309</v>
      </c>
      <c r="B9" s="0" t="s">
        <v>310</v>
      </c>
      <c r="C9" s="0" t="s">
        <v>311</v>
      </c>
      <c r="D9" s="0" t="s">
        <v>312</v>
      </c>
      <c r="E9" s="0" t="s">
        <v>313</v>
      </c>
      <c r="F9" s="0" t="s">
        <v>314</v>
      </c>
      <c r="G9" s="0" t="s">
        <v>315</v>
      </c>
      <c r="H9" s="2" t="s">
        <v>316</v>
      </c>
      <c r="I9" s="2" t="s">
        <v>317</v>
      </c>
      <c r="J9" s="0" t="s">
        <v>318</v>
      </c>
      <c r="K9" s="0" t="s">
        <v>319</v>
      </c>
      <c r="L9" s="0" t="s">
        <v>320</v>
      </c>
      <c r="M9" s="0" t="s">
        <v>321</v>
      </c>
      <c r="N9" s="0" t="s">
        <v>322</v>
      </c>
      <c r="O9" s="0" t="s">
        <v>323</v>
      </c>
      <c r="P9" s="0" t="s">
        <v>320</v>
      </c>
      <c r="Q9" s="0" t="s">
        <v>324</v>
      </c>
      <c r="R9" s="0" t="s">
        <v>325</v>
      </c>
      <c r="S9" s="0" t="s">
        <v>326</v>
      </c>
      <c r="T9" s="0" t="s">
        <v>327</v>
      </c>
      <c r="U9" s="0" t="s">
        <v>328</v>
      </c>
      <c r="V9" s="0" t="s">
        <v>329</v>
      </c>
      <c r="W9" s="2" t="s">
        <v>330</v>
      </c>
      <c r="X9" s="0" t="s">
        <v>331</v>
      </c>
      <c r="Y9" s="0" t="s">
        <v>314</v>
      </c>
      <c r="Z9" s="0" t="s">
        <v>332</v>
      </c>
      <c r="AA9" s="0" t="s">
        <v>320</v>
      </c>
      <c r="AB9" s="0" t="s">
        <v>333</v>
      </c>
      <c r="AC9" s="0" t="s">
        <v>318</v>
      </c>
      <c r="AD9" s="0" t="s">
        <v>334</v>
      </c>
      <c r="AE9" s="0" t="s">
        <v>318</v>
      </c>
      <c r="AF9" s="0" t="s">
        <v>335</v>
      </c>
      <c r="AG9" s="0" t="s">
        <v>318</v>
      </c>
      <c r="AH9" s="0" t="s">
        <v>319</v>
      </c>
      <c r="AI9" s="0" t="s">
        <v>319</v>
      </c>
      <c r="AJ9" s="0" t="s">
        <v>334</v>
      </c>
      <c r="AK9" s="0" t="s">
        <v>332</v>
      </c>
      <c r="AL9" s="0" t="s">
        <v>336</v>
      </c>
      <c r="AM9" s="0" t="s">
        <v>315</v>
      </c>
      <c r="AN9" s="0" t="s">
        <v>337</v>
      </c>
      <c r="AO9" s="0" t="s">
        <v>314</v>
      </c>
      <c r="AP9" s="0" t="s">
        <v>122</v>
      </c>
    </row>
    <row r="10" customFormat="false" ht="12.75" hidden="false" customHeight="false" outlineLevel="0" collapsed="false">
      <c r="A10" s="0" t="s">
        <v>338</v>
      </c>
      <c r="B10" s="0" t="s">
        <v>339</v>
      </c>
      <c r="C10" s="0" t="s">
        <v>340</v>
      </c>
      <c r="D10" s="0" t="s">
        <v>341</v>
      </c>
      <c r="E10" s="0" t="s">
        <v>342</v>
      </c>
      <c r="F10" s="0" t="s">
        <v>343</v>
      </c>
      <c r="G10" s="0" t="s">
        <v>344</v>
      </c>
      <c r="H10" s="2" t="s">
        <v>345</v>
      </c>
      <c r="I10" s="2" t="s">
        <v>346</v>
      </c>
      <c r="J10" s="0" t="s">
        <v>338</v>
      </c>
      <c r="K10" s="0" t="s">
        <v>347</v>
      </c>
      <c r="L10" s="0" t="s">
        <v>348</v>
      </c>
      <c r="M10" s="0" t="s">
        <v>349</v>
      </c>
      <c r="N10" s="0" t="s">
        <v>344</v>
      </c>
      <c r="O10" s="0" t="s">
        <v>350</v>
      </c>
      <c r="P10" s="0" t="s">
        <v>348</v>
      </c>
      <c r="Q10" s="0" t="s">
        <v>351</v>
      </c>
      <c r="R10" s="0" t="s">
        <v>352</v>
      </c>
      <c r="S10" s="0" t="s">
        <v>353</v>
      </c>
      <c r="T10" s="0" t="s">
        <v>354</v>
      </c>
      <c r="U10" s="0" t="s">
        <v>339</v>
      </c>
      <c r="V10" s="0" t="s">
        <v>355</v>
      </c>
      <c r="W10" s="2" t="s">
        <v>356</v>
      </c>
      <c r="X10" s="0" t="s">
        <v>357</v>
      </c>
      <c r="Y10" s="0" t="s">
        <v>358</v>
      </c>
      <c r="Z10" s="0" t="s">
        <v>339</v>
      </c>
      <c r="AA10" s="0" t="s">
        <v>359</v>
      </c>
      <c r="AB10" s="0" t="s">
        <v>360</v>
      </c>
      <c r="AC10" s="0" t="s">
        <v>353</v>
      </c>
      <c r="AD10" s="0" t="s">
        <v>344</v>
      </c>
      <c r="AE10" s="0" t="s">
        <v>344</v>
      </c>
      <c r="AF10" s="0" t="s">
        <v>361</v>
      </c>
      <c r="AG10" s="0" t="s">
        <v>362</v>
      </c>
      <c r="AH10" s="0" t="s">
        <v>347</v>
      </c>
      <c r="AI10" s="0" t="s">
        <v>338</v>
      </c>
      <c r="AJ10" s="0" t="s">
        <v>344</v>
      </c>
      <c r="AK10" s="0" t="s">
        <v>363</v>
      </c>
      <c r="AL10" s="0" t="s">
        <v>364</v>
      </c>
      <c r="AM10" s="0" t="s">
        <v>342</v>
      </c>
      <c r="AN10" s="0" t="s">
        <v>365</v>
      </c>
      <c r="AO10" s="0" t="s">
        <v>366</v>
      </c>
      <c r="AP10" s="0" t="s">
        <v>367</v>
      </c>
    </row>
    <row r="11" customFormat="false" ht="12.75" hidden="false" customHeight="false" outlineLevel="0" collapsed="false">
      <c r="A11" s="0" t="s">
        <v>368</v>
      </c>
      <c r="B11" s="0" t="s">
        <v>369</v>
      </c>
      <c r="C11" s="0" t="s">
        <v>370</v>
      </c>
      <c r="D11" s="0" t="s">
        <v>371</v>
      </c>
      <c r="E11" s="0" t="s">
        <v>372</v>
      </c>
      <c r="F11" s="0" t="s">
        <v>373</v>
      </c>
      <c r="G11" s="0" t="s">
        <v>355</v>
      </c>
      <c r="H11" s="2" t="s">
        <v>374</v>
      </c>
      <c r="I11" s="2" t="s">
        <v>375</v>
      </c>
      <c r="J11" s="0" t="s">
        <v>368</v>
      </c>
      <c r="K11" s="0" t="s">
        <v>376</v>
      </c>
      <c r="L11" s="0" t="s">
        <v>376</v>
      </c>
      <c r="M11" s="0" t="s">
        <v>368</v>
      </c>
      <c r="N11" s="0" t="s">
        <v>376</v>
      </c>
      <c r="O11" s="0" t="s">
        <v>377</v>
      </c>
      <c r="P11" s="0" t="s">
        <v>359</v>
      </c>
      <c r="Q11" s="0" t="s">
        <v>378</v>
      </c>
      <c r="R11" s="0" t="s">
        <v>379</v>
      </c>
      <c r="S11" s="0" t="s">
        <v>380</v>
      </c>
      <c r="T11" s="0" t="s">
        <v>381</v>
      </c>
      <c r="U11" s="0" t="s">
        <v>382</v>
      </c>
      <c r="V11" s="0" t="s">
        <v>376</v>
      </c>
      <c r="W11" s="2" t="s">
        <v>383</v>
      </c>
      <c r="X11" s="0" t="s">
        <v>339</v>
      </c>
      <c r="Y11" s="0" t="s">
        <v>373</v>
      </c>
      <c r="Z11" s="0" t="s">
        <v>384</v>
      </c>
      <c r="AA11" s="0" t="s">
        <v>376</v>
      </c>
      <c r="AB11" s="0" t="s">
        <v>385</v>
      </c>
      <c r="AC11" s="0" t="s">
        <v>347</v>
      </c>
      <c r="AD11" s="0" t="s">
        <v>376</v>
      </c>
      <c r="AE11" s="0" t="s">
        <v>376</v>
      </c>
      <c r="AF11" s="0" t="s">
        <v>386</v>
      </c>
      <c r="AG11" s="0" t="s">
        <v>387</v>
      </c>
      <c r="AH11" s="0" t="s">
        <v>376</v>
      </c>
      <c r="AI11" s="0" t="s">
        <v>368</v>
      </c>
      <c r="AJ11" s="0" t="s">
        <v>355</v>
      </c>
      <c r="AK11" s="0" t="s">
        <v>376</v>
      </c>
      <c r="AL11" s="0" t="s">
        <v>388</v>
      </c>
      <c r="AM11" s="0" t="s">
        <v>355</v>
      </c>
      <c r="AN11" s="0" t="s">
        <v>389</v>
      </c>
      <c r="AO11" s="0" t="s">
        <v>386</v>
      </c>
      <c r="AP11" s="0" t="s">
        <v>390</v>
      </c>
    </row>
    <row r="12" customFormat="false" ht="12.75" hidden="false" customHeight="false" outlineLevel="0" collapsed="false">
      <c r="A12" s="0" t="s">
        <v>391</v>
      </c>
      <c r="B12" s="0" t="s">
        <v>392</v>
      </c>
      <c r="C12" s="0" t="s">
        <v>393</v>
      </c>
      <c r="D12" s="0" t="s">
        <v>394</v>
      </c>
      <c r="E12" s="0" t="s">
        <v>395</v>
      </c>
      <c r="F12" s="0" t="s">
        <v>396</v>
      </c>
      <c r="G12" s="0" t="s">
        <v>397</v>
      </c>
      <c r="H12" s="2" t="s">
        <v>398</v>
      </c>
      <c r="I12" s="2" t="s">
        <v>399</v>
      </c>
      <c r="J12" s="0" t="s">
        <v>391</v>
      </c>
      <c r="K12" s="0" t="s">
        <v>384</v>
      </c>
      <c r="L12" s="0" t="s">
        <v>400</v>
      </c>
      <c r="M12" s="0" t="s">
        <v>355</v>
      </c>
      <c r="N12" s="0" t="s">
        <v>391</v>
      </c>
      <c r="O12" s="0" t="s">
        <v>401</v>
      </c>
      <c r="P12" s="0" t="s">
        <v>391</v>
      </c>
      <c r="Q12" s="0" t="s">
        <v>402</v>
      </c>
      <c r="R12" s="0" t="s">
        <v>403</v>
      </c>
      <c r="S12" s="0" t="s">
        <v>404</v>
      </c>
      <c r="T12" s="0" t="s">
        <v>405</v>
      </c>
      <c r="U12" s="0" t="s">
        <v>406</v>
      </c>
      <c r="V12" s="0" t="s">
        <v>387</v>
      </c>
      <c r="W12" s="2" t="s">
        <v>407</v>
      </c>
      <c r="X12" s="0" t="s">
        <v>408</v>
      </c>
      <c r="Y12" s="0" t="s">
        <v>409</v>
      </c>
      <c r="Z12" s="0" t="s">
        <v>410</v>
      </c>
      <c r="AA12" s="0" t="s">
        <v>389</v>
      </c>
      <c r="AB12" s="0" t="s">
        <v>411</v>
      </c>
      <c r="AC12" s="0" t="s">
        <v>384</v>
      </c>
      <c r="AD12" s="0" t="s">
        <v>397</v>
      </c>
      <c r="AE12" s="0" t="s">
        <v>397</v>
      </c>
      <c r="AF12" s="0" t="s">
        <v>409</v>
      </c>
      <c r="AG12" s="0" t="s">
        <v>412</v>
      </c>
      <c r="AH12" s="0" t="s">
        <v>384</v>
      </c>
      <c r="AI12" s="0" t="s">
        <v>391</v>
      </c>
      <c r="AJ12" s="0" t="s">
        <v>391</v>
      </c>
      <c r="AK12" s="0" t="s">
        <v>342</v>
      </c>
      <c r="AL12" s="0" t="s">
        <v>413</v>
      </c>
      <c r="AM12" s="0" t="s">
        <v>414</v>
      </c>
      <c r="AN12" s="0" t="s">
        <v>395</v>
      </c>
      <c r="AO12" s="0" t="s">
        <v>409</v>
      </c>
      <c r="AP12" s="0" t="s">
        <v>415</v>
      </c>
    </row>
    <row r="13" customFormat="false" ht="12.75" hidden="false" customHeight="false" outlineLevel="0" collapsed="false">
      <c r="A13" s="0" t="s">
        <v>339</v>
      </c>
      <c r="B13" s="0" t="s">
        <v>395</v>
      </c>
      <c r="C13" s="0" t="s">
        <v>416</v>
      </c>
      <c r="D13" s="0" t="s">
        <v>417</v>
      </c>
      <c r="E13" s="0" t="s">
        <v>353</v>
      </c>
      <c r="F13" s="0" t="s">
        <v>418</v>
      </c>
      <c r="G13" s="0" t="s">
        <v>387</v>
      </c>
      <c r="H13" s="2" t="s">
        <v>419</v>
      </c>
      <c r="I13" s="2" t="s">
        <v>420</v>
      </c>
      <c r="J13" s="0" t="s">
        <v>339</v>
      </c>
      <c r="K13" s="0" t="s">
        <v>387</v>
      </c>
      <c r="L13" s="0" t="s">
        <v>389</v>
      </c>
      <c r="M13" s="0" t="s">
        <v>376</v>
      </c>
      <c r="N13" s="0" t="s">
        <v>404</v>
      </c>
      <c r="O13" s="0" t="s">
        <v>421</v>
      </c>
      <c r="P13" s="0" t="s">
        <v>422</v>
      </c>
      <c r="Q13" s="0" t="s">
        <v>423</v>
      </c>
      <c r="R13" s="0" t="s">
        <v>424</v>
      </c>
      <c r="S13" s="0" t="s">
        <v>376</v>
      </c>
      <c r="T13" s="0" t="s">
        <v>425</v>
      </c>
      <c r="U13" s="0" t="s">
        <v>389</v>
      </c>
      <c r="V13" s="0" t="s">
        <v>359</v>
      </c>
      <c r="W13" s="2" t="s">
        <v>426</v>
      </c>
      <c r="X13" s="0" t="s">
        <v>387</v>
      </c>
      <c r="Y13" s="0" t="s">
        <v>361</v>
      </c>
      <c r="Z13" s="0" t="s">
        <v>389</v>
      </c>
      <c r="AA13" s="0" t="s">
        <v>382</v>
      </c>
      <c r="AB13" s="0" t="s">
        <v>427</v>
      </c>
      <c r="AC13" s="0" t="s">
        <v>387</v>
      </c>
      <c r="AD13" s="0" t="s">
        <v>404</v>
      </c>
      <c r="AE13" s="0" t="s">
        <v>410</v>
      </c>
      <c r="AF13" s="0" t="s">
        <v>373</v>
      </c>
      <c r="AG13" s="0" t="s">
        <v>410</v>
      </c>
      <c r="AH13" s="0" t="s">
        <v>387</v>
      </c>
      <c r="AI13" s="0" t="s">
        <v>339</v>
      </c>
      <c r="AJ13" s="0" t="s">
        <v>387</v>
      </c>
      <c r="AK13" s="0" t="s">
        <v>369</v>
      </c>
      <c r="AL13" s="0" t="s">
        <v>428</v>
      </c>
      <c r="AM13" s="0" t="s">
        <v>353</v>
      </c>
      <c r="AN13" s="0" t="s">
        <v>414</v>
      </c>
      <c r="AO13" s="0" t="s">
        <v>373</v>
      </c>
      <c r="AP13" s="0" t="s">
        <v>429</v>
      </c>
    </row>
    <row r="14" customFormat="false" ht="12.75" hidden="false" customHeight="false" outlineLevel="0" collapsed="false">
      <c r="A14" s="0" t="s">
        <v>430</v>
      </c>
      <c r="B14" s="0" t="s">
        <v>431</v>
      </c>
      <c r="C14" s="0" t="s">
        <v>432</v>
      </c>
      <c r="D14" s="0" t="s">
        <v>433</v>
      </c>
      <c r="E14" s="0" t="s">
        <v>434</v>
      </c>
      <c r="F14" s="0" t="s">
        <v>435</v>
      </c>
      <c r="G14" s="0" t="s">
        <v>436</v>
      </c>
      <c r="H14" s="2" t="s">
        <v>437</v>
      </c>
      <c r="I14" s="2" t="s">
        <v>438</v>
      </c>
      <c r="J14" s="0" t="s">
        <v>430</v>
      </c>
      <c r="K14" s="0" t="s">
        <v>439</v>
      </c>
      <c r="L14" s="0" t="s">
        <v>440</v>
      </c>
      <c r="M14" s="0" t="s">
        <v>441</v>
      </c>
      <c r="N14" s="0" t="s">
        <v>442</v>
      </c>
      <c r="O14" s="0" t="s">
        <v>443</v>
      </c>
      <c r="P14" s="0" t="s">
        <v>444</v>
      </c>
      <c r="Q14" s="0" t="s">
        <v>445</v>
      </c>
      <c r="R14" s="0" t="s">
        <v>446</v>
      </c>
      <c r="S14" s="0" t="s">
        <v>447</v>
      </c>
      <c r="T14" s="0" t="s">
        <v>448</v>
      </c>
      <c r="U14" s="0" t="s">
        <v>449</v>
      </c>
      <c r="V14" s="0" t="s">
        <v>450</v>
      </c>
      <c r="W14" s="2" t="s">
        <v>451</v>
      </c>
      <c r="X14" s="0" t="s">
        <v>452</v>
      </c>
      <c r="Y14" s="0" t="s">
        <v>453</v>
      </c>
      <c r="Z14" s="0" t="s">
        <v>454</v>
      </c>
      <c r="AA14" s="0" t="s">
        <v>455</v>
      </c>
      <c r="AB14" s="0" t="s">
        <v>456</v>
      </c>
      <c r="AC14" s="0" t="s">
        <v>457</v>
      </c>
      <c r="AD14" s="0" t="s">
        <v>458</v>
      </c>
      <c r="AE14" s="0" t="s">
        <v>459</v>
      </c>
      <c r="AF14" s="0" t="s">
        <v>460</v>
      </c>
      <c r="AG14" s="0" t="s">
        <v>461</v>
      </c>
      <c r="AH14" s="0" t="s">
        <v>462</v>
      </c>
      <c r="AI14" s="0" t="s">
        <v>430</v>
      </c>
      <c r="AJ14" s="0" t="s">
        <v>436</v>
      </c>
      <c r="AK14" s="0" t="s">
        <v>463</v>
      </c>
      <c r="AL14" s="0" t="s">
        <v>464</v>
      </c>
      <c r="AM14" s="0" t="s">
        <v>465</v>
      </c>
      <c r="AN14" s="0" t="s">
        <v>466</v>
      </c>
      <c r="AO14" s="0" t="s">
        <v>467</v>
      </c>
      <c r="AP14" s="0" t="s">
        <v>468</v>
      </c>
    </row>
    <row r="15" customFormat="false" ht="12.75" hidden="false" customHeight="false" outlineLevel="0" collapsed="false">
      <c r="A15" s="0" t="s">
        <v>469</v>
      </c>
      <c r="B15" s="0" t="s">
        <v>470</v>
      </c>
      <c r="C15" s="0" t="s">
        <v>471</v>
      </c>
      <c r="D15" s="0" t="s">
        <v>472</v>
      </c>
      <c r="E15" s="0" t="s">
        <v>473</v>
      </c>
      <c r="F15" s="0" t="s">
        <v>474</v>
      </c>
      <c r="G15" s="0" t="s">
        <v>475</v>
      </c>
      <c r="H15" s="2" t="s">
        <v>476</v>
      </c>
      <c r="I15" s="2" t="s">
        <v>477</v>
      </c>
      <c r="J15" s="0" t="s">
        <v>469</v>
      </c>
      <c r="K15" s="0" t="s">
        <v>478</v>
      </c>
      <c r="L15" s="0" t="s">
        <v>469</v>
      </c>
      <c r="M15" s="0" t="s">
        <v>469</v>
      </c>
      <c r="N15" s="0" t="s">
        <v>479</v>
      </c>
      <c r="O15" s="0" t="s">
        <v>480</v>
      </c>
      <c r="P15" s="0" t="s">
        <v>481</v>
      </c>
      <c r="Q15" s="0" t="s">
        <v>482</v>
      </c>
      <c r="R15" s="0" t="s">
        <v>483</v>
      </c>
      <c r="S15" s="0" t="s">
        <v>469</v>
      </c>
      <c r="T15" s="0" t="s">
        <v>484</v>
      </c>
      <c r="U15" s="0" t="s">
        <v>485</v>
      </c>
      <c r="V15" s="0" t="s">
        <v>486</v>
      </c>
      <c r="W15" s="2" t="s">
        <v>487</v>
      </c>
      <c r="X15" s="0" t="s">
        <v>488</v>
      </c>
      <c r="Y15" s="0" t="s">
        <v>489</v>
      </c>
      <c r="Z15" s="0" t="s">
        <v>387</v>
      </c>
      <c r="AA15" s="0" t="s">
        <v>387</v>
      </c>
      <c r="AB15" s="0" t="s">
        <v>490</v>
      </c>
      <c r="AC15" s="0" t="s">
        <v>491</v>
      </c>
      <c r="AD15" s="0" t="s">
        <v>387</v>
      </c>
      <c r="AE15" s="0" t="s">
        <v>387</v>
      </c>
      <c r="AF15" s="0" t="s">
        <v>492</v>
      </c>
      <c r="AG15" s="0" t="s">
        <v>493</v>
      </c>
      <c r="AH15" s="0" t="s">
        <v>478</v>
      </c>
      <c r="AI15" s="0" t="s">
        <v>469</v>
      </c>
      <c r="AJ15" s="0" t="s">
        <v>479</v>
      </c>
      <c r="AK15" s="0" t="s">
        <v>387</v>
      </c>
      <c r="AL15" s="0" t="s">
        <v>494</v>
      </c>
      <c r="AM15" s="0" t="s">
        <v>387</v>
      </c>
      <c r="AN15" s="0" t="s">
        <v>495</v>
      </c>
      <c r="AO15" s="0" t="s">
        <v>358</v>
      </c>
      <c r="AP15" s="0" t="s">
        <v>496</v>
      </c>
    </row>
    <row r="18" customFormat="false" ht="12.75" hidden="false" customHeight="false" outlineLevel="0" collapsed="false">
      <c r="A18" s="0" t="s">
        <v>497</v>
      </c>
      <c r="B18" s="0" t="s">
        <v>498</v>
      </c>
      <c r="C18" s="0" t="s">
        <v>499</v>
      </c>
      <c r="D18" s="0" t="s">
        <v>500</v>
      </c>
      <c r="E18" s="0" t="s">
        <v>414</v>
      </c>
      <c r="F18" s="0" t="s">
        <v>501</v>
      </c>
      <c r="G18" s="0" t="s">
        <v>502</v>
      </c>
      <c r="H18" s="2" t="s">
        <v>503</v>
      </c>
      <c r="I18" s="0" t="s">
        <v>497</v>
      </c>
      <c r="J18" s="0" t="s">
        <v>504</v>
      </c>
      <c r="K18" s="0" t="s">
        <v>505</v>
      </c>
      <c r="L18" s="0" t="s">
        <v>506</v>
      </c>
      <c r="M18" s="0" t="s">
        <v>507</v>
      </c>
      <c r="N18" s="0" t="s">
        <v>497</v>
      </c>
      <c r="O18" s="0" t="s">
        <v>508</v>
      </c>
      <c r="P18" s="0" t="s">
        <v>497</v>
      </c>
      <c r="Q18" s="0" t="s">
        <v>509</v>
      </c>
      <c r="R18" s="0" t="s">
        <v>510</v>
      </c>
      <c r="S18" s="0" t="s">
        <v>511</v>
      </c>
      <c r="T18" s="0" t="s">
        <v>512</v>
      </c>
      <c r="U18" s="0" t="s">
        <v>497</v>
      </c>
      <c r="V18" s="0" t="s">
        <v>513</v>
      </c>
      <c r="W18" s="2" t="s">
        <v>514</v>
      </c>
      <c r="X18" s="0" t="s">
        <v>515</v>
      </c>
      <c r="Y18" s="0" t="s">
        <v>501</v>
      </c>
      <c r="Z18" s="0" t="s">
        <v>516</v>
      </c>
      <c r="AA18" s="0" t="s">
        <v>506</v>
      </c>
      <c r="AB18" s="0" t="s">
        <v>517</v>
      </c>
      <c r="AC18" s="0" t="s">
        <v>518</v>
      </c>
      <c r="AD18" s="0" t="s">
        <v>513</v>
      </c>
      <c r="AE18" s="0" t="s">
        <v>519</v>
      </c>
      <c r="AF18" s="0" t="s">
        <v>520</v>
      </c>
      <c r="AG18" s="0" t="s">
        <v>504</v>
      </c>
      <c r="AH18" s="0" t="s">
        <v>505</v>
      </c>
      <c r="AI18" s="0" t="s">
        <v>504</v>
      </c>
      <c r="AJ18" s="0" t="s">
        <v>497</v>
      </c>
      <c r="AK18" s="0" t="s">
        <v>521</v>
      </c>
      <c r="AL18" s="0" t="s">
        <v>522</v>
      </c>
      <c r="AM18" s="0" t="s">
        <v>523</v>
      </c>
      <c r="AN18" s="0" t="s">
        <v>524</v>
      </c>
      <c r="AO18" s="0" t="s">
        <v>525</v>
      </c>
      <c r="AP18" s="0" t="s">
        <v>526</v>
      </c>
    </row>
    <row r="19" customFormat="false" ht="12.75" hidden="false" customHeight="false" outlineLevel="0" collapsed="false">
      <c r="A19" s="0" t="s">
        <v>527</v>
      </c>
      <c r="B19" s="0" t="s">
        <v>528</v>
      </c>
      <c r="C19" s="0" t="s">
        <v>529</v>
      </c>
      <c r="D19" s="0" t="s">
        <v>530</v>
      </c>
      <c r="E19" s="0" t="s">
        <v>531</v>
      </c>
      <c r="F19" s="0" t="s">
        <v>532</v>
      </c>
      <c r="G19" s="0" t="s">
        <v>533</v>
      </c>
      <c r="H19" s="2" t="s">
        <v>534</v>
      </c>
      <c r="I19" s="0" t="s">
        <v>527</v>
      </c>
      <c r="J19" s="0" t="s">
        <v>535</v>
      </c>
      <c r="K19" s="0" t="s">
        <v>536</v>
      </c>
      <c r="L19" s="0" t="s">
        <v>537</v>
      </c>
      <c r="M19" s="0" t="s">
        <v>538</v>
      </c>
      <c r="N19" s="0" t="s">
        <v>527</v>
      </c>
      <c r="O19" s="0" t="s">
        <v>539</v>
      </c>
      <c r="P19" s="0" t="s">
        <v>527</v>
      </c>
      <c r="Q19" s="0" t="s">
        <v>540</v>
      </c>
      <c r="R19" s="0" t="s">
        <v>541</v>
      </c>
      <c r="S19" s="0" t="s">
        <v>542</v>
      </c>
      <c r="T19" s="0" t="s">
        <v>543</v>
      </c>
      <c r="U19" s="0" t="s">
        <v>544</v>
      </c>
      <c r="V19" s="0" t="s">
        <v>545</v>
      </c>
      <c r="W19" s="2" t="s">
        <v>546</v>
      </c>
      <c r="X19" s="0" t="s">
        <v>547</v>
      </c>
      <c r="Y19" s="0" t="s">
        <v>532</v>
      </c>
      <c r="Z19" s="0" t="s">
        <v>548</v>
      </c>
      <c r="AA19" s="0" t="s">
        <v>537</v>
      </c>
      <c r="AB19" s="0" t="s">
        <v>549</v>
      </c>
      <c r="AC19" s="0" t="s">
        <v>550</v>
      </c>
      <c r="AD19" s="0" t="s">
        <v>551</v>
      </c>
      <c r="AE19" s="0" t="s">
        <v>545</v>
      </c>
      <c r="AF19" s="0" t="s">
        <v>552</v>
      </c>
      <c r="AG19" s="0" t="s">
        <v>535</v>
      </c>
      <c r="AH19" s="0" t="s">
        <v>536</v>
      </c>
      <c r="AI19" s="0" t="s">
        <v>535</v>
      </c>
      <c r="AJ19" s="0" t="s">
        <v>527</v>
      </c>
      <c r="AK19" s="0" t="s">
        <v>553</v>
      </c>
      <c r="AL19" s="0" t="s">
        <v>554</v>
      </c>
      <c r="AM19" s="0" t="s">
        <v>555</v>
      </c>
      <c r="AN19" s="0" t="s">
        <v>556</v>
      </c>
      <c r="AO19" s="0" t="s">
        <v>552</v>
      </c>
      <c r="AP19" s="0" t="s">
        <v>557</v>
      </c>
    </row>
    <row r="20" customFormat="false" ht="12.75" hidden="false" customHeight="false" outlineLevel="0" collapsed="false">
      <c r="A20" s="0" t="s">
        <v>558</v>
      </c>
      <c r="B20" s="0" t="s">
        <v>559</v>
      </c>
      <c r="C20" s="0" t="s">
        <v>560</v>
      </c>
      <c r="D20" s="0" t="s">
        <v>561</v>
      </c>
      <c r="E20" s="0" t="s">
        <v>562</v>
      </c>
      <c r="F20" s="0" t="s">
        <v>563</v>
      </c>
      <c r="G20" s="0" t="s">
        <v>564</v>
      </c>
      <c r="H20" s="2" t="s">
        <v>565</v>
      </c>
      <c r="I20" s="0" t="s">
        <v>558</v>
      </c>
      <c r="J20" s="0" t="s">
        <v>566</v>
      </c>
      <c r="K20" s="0" t="s">
        <v>567</v>
      </c>
      <c r="L20" s="0" t="s">
        <v>568</v>
      </c>
      <c r="M20" s="0" t="s">
        <v>569</v>
      </c>
      <c r="N20" s="0" t="s">
        <v>558</v>
      </c>
      <c r="O20" s="0" t="s">
        <v>570</v>
      </c>
      <c r="P20" s="0" t="s">
        <v>558</v>
      </c>
      <c r="Q20" s="0" t="s">
        <v>571</v>
      </c>
      <c r="R20" s="0" t="s">
        <v>572</v>
      </c>
      <c r="S20" s="0" t="s">
        <v>573</v>
      </c>
      <c r="T20" s="0" t="s">
        <v>574</v>
      </c>
      <c r="U20" s="0" t="s">
        <v>575</v>
      </c>
      <c r="V20" s="0" t="s">
        <v>559</v>
      </c>
      <c r="W20" s="2" t="s">
        <v>576</v>
      </c>
      <c r="X20" s="0" t="s">
        <v>577</v>
      </c>
      <c r="Y20" s="0" t="s">
        <v>578</v>
      </c>
      <c r="Z20" s="0" t="s">
        <v>579</v>
      </c>
      <c r="AA20" s="0" t="s">
        <v>580</v>
      </c>
      <c r="AB20" s="0" t="s">
        <v>581</v>
      </c>
      <c r="AC20" s="0" t="s">
        <v>582</v>
      </c>
      <c r="AD20" s="0" t="s">
        <v>583</v>
      </c>
      <c r="AE20" s="0" t="s">
        <v>559</v>
      </c>
      <c r="AF20" s="0" t="s">
        <v>563</v>
      </c>
      <c r="AG20" s="0" t="s">
        <v>566</v>
      </c>
      <c r="AH20" s="0" t="s">
        <v>584</v>
      </c>
      <c r="AI20" s="0" t="s">
        <v>585</v>
      </c>
      <c r="AJ20" s="0" t="s">
        <v>558</v>
      </c>
      <c r="AK20" s="0" t="s">
        <v>586</v>
      </c>
      <c r="AL20" s="0" t="s">
        <v>587</v>
      </c>
      <c r="AM20" s="0" t="s">
        <v>588</v>
      </c>
      <c r="AN20" s="0" t="s">
        <v>589</v>
      </c>
      <c r="AO20" s="0" t="s">
        <v>563</v>
      </c>
      <c r="AP20" s="0" t="s">
        <v>590</v>
      </c>
    </row>
    <row r="21" customFormat="false" ht="12.75" hidden="false" customHeight="false" outlineLevel="0" collapsed="false">
      <c r="A21" s="0" t="s">
        <v>591</v>
      </c>
      <c r="B21" s="0" t="s">
        <v>592</v>
      </c>
      <c r="C21" s="0" t="s">
        <v>593</v>
      </c>
      <c r="D21" s="0" t="s">
        <v>594</v>
      </c>
      <c r="E21" s="0" t="s">
        <v>595</v>
      </c>
      <c r="F21" s="0" t="s">
        <v>596</v>
      </c>
      <c r="G21" s="0" t="s">
        <v>597</v>
      </c>
      <c r="H21" s="2" t="s">
        <v>598</v>
      </c>
      <c r="I21" s="0" t="s">
        <v>591</v>
      </c>
      <c r="J21" s="0" t="s">
        <v>599</v>
      </c>
      <c r="K21" s="0" t="s">
        <v>600</v>
      </c>
      <c r="L21" s="0" t="s">
        <v>601</v>
      </c>
      <c r="M21" s="0" t="s">
        <v>602</v>
      </c>
      <c r="N21" s="0" t="s">
        <v>591</v>
      </c>
      <c r="O21" s="0" t="s">
        <v>603</v>
      </c>
      <c r="P21" s="0" t="s">
        <v>591</v>
      </c>
      <c r="Q21" s="0" t="s">
        <v>604</v>
      </c>
      <c r="R21" s="0" t="s">
        <v>605</v>
      </c>
      <c r="S21" s="0" t="s">
        <v>606</v>
      </c>
      <c r="T21" s="0" t="s">
        <v>607</v>
      </c>
      <c r="U21" s="0" t="s">
        <v>608</v>
      </c>
      <c r="V21" s="0" t="s">
        <v>609</v>
      </c>
      <c r="W21" s="2" t="s">
        <v>610</v>
      </c>
      <c r="X21" s="0" t="s">
        <v>611</v>
      </c>
      <c r="Y21" s="0" t="s">
        <v>612</v>
      </c>
      <c r="Z21" s="0" t="s">
        <v>613</v>
      </c>
      <c r="AA21" s="0" t="s">
        <v>601</v>
      </c>
      <c r="AB21" s="0" t="s">
        <v>614</v>
      </c>
      <c r="AC21" s="0" t="s">
        <v>615</v>
      </c>
      <c r="AD21" s="0" t="s">
        <v>616</v>
      </c>
      <c r="AE21" s="0" t="s">
        <v>617</v>
      </c>
      <c r="AF21" s="0" t="s">
        <v>618</v>
      </c>
      <c r="AG21" s="0" t="s">
        <v>619</v>
      </c>
      <c r="AH21" s="0" t="s">
        <v>600</v>
      </c>
      <c r="AI21" s="0" t="s">
        <v>619</v>
      </c>
      <c r="AJ21" s="0" t="s">
        <v>591</v>
      </c>
      <c r="AK21" s="0" t="s">
        <v>601</v>
      </c>
      <c r="AL21" s="0" t="s">
        <v>620</v>
      </c>
      <c r="AM21" s="0" t="s">
        <v>621</v>
      </c>
      <c r="AN21" s="0" t="s">
        <v>622</v>
      </c>
      <c r="AO21" s="0" t="s">
        <v>618</v>
      </c>
      <c r="AP21" s="0" t="s">
        <v>623</v>
      </c>
    </row>
    <row r="22" customFormat="false" ht="12.75" hidden="false" customHeight="false" outlineLevel="0" collapsed="false">
      <c r="A22" s="0" t="s">
        <v>624</v>
      </c>
      <c r="B22" s="0" t="s">
        <v>625</v>
      </c>
      <c r="C22" s="0" t="s">
        <v>626</v>
      </c>
      <c r="D22" s="0" t="s">
        <v>627</v>
      </c>
      <c r="E22" s="0" t="s">
        <v>628</v>
      </c>
      <c r="F22" s="0" t="s">
        <v>629</v>
      </c>
      <c r="G22" s="0" t="s">
        <v>630</v>
      </c>
      <c r="H22" s="2" t="s">
        <v>631</v>
      </c>
      <c r="I22" s="0" t="s">
        <v>624</v>
      </c>
      <c r="J22" s="0" t="s">
        <v>632</v>
      </c>
      <c r="K22" s="0" t="s">
        <v>633</v>
      </c>
      <c r="L22" s="0" t="s">
        <v>585</v>
      </c>
      <c r="M22" s="0" t="s">
        <v>634</v>
      </c>
      <c r="N22" s="0" t="s">
        <v>624</v>
      </c>
      <c r="O22" s="0" t="s">
        <v>635</v>
      </c>
      <c r="P22" s="0" t="s">
        <v>624</v>
      </c>
      <c r="Q22" s="0" t="s">
        <v>636</v>
      </c>
      <c r="R22" s="0" t="s">
        <v>637</v>
      </c>
      <c r="S22" s="0" t="s">
        <v>638</v>
      </c>
      <c r="T22" s="0" t="s">
        <v>639</v>
      </c>
      <c r="U22" s="0" t="s">
        <v>640</v>
      </c>
      <c r="V22" s="0" t="s">
        <v>641</v>
      </c>
      <c r="W22" s="2" t="s">
        <v>642</v>
      </c>
      <c r="X22" s="0" t="s">
        <v>643</v>
      </c>
      <c r="Y22" s="0" t="s">
        <v>644</v>
      </c>
      <c r="Z22" s="0" t="s">
        <v>645</v>
      </c>
      <c r="AA22" s="0" t="s">
        <v>646</v>
      </c>
      <c r="AB22" s="0" t="s">
        <v>647</v>
      </c>
      <c r="AC22" s="0" t="s">
        <v>648</v>
      </c>
      <c r="AD22" s="0" t="s">
        <v>649</v>
      </c>
      <c r="AE22" s="0" t="s">
        <v>650</v>
      </c>
      <c r="AF22" s="0" t="s">
        <v>651</v>
      </c>
      <c r="AG22" s="0" t="s">
        <v>632</v>
      </c>
      <c r="AH22" s="0" t="s">
        <v>652</v>
      </c>
      <c r="AI22" s="0" t="s">
        <v>632</v>
      </c>
      <c r="AJ22" s="0" t="s">
        <v>624</v>
      </c>
      <c r="AK22" s="0" t="s">
        <v>585</v>
      </c>
      <c r="AL22" s="0" t="s">
        <v>653</v>
      </c>
      <c r="AM22" s="0" t="s">
        <v>654</v>
      </c>
      <c r="AN22" s="0" t="s">
        <v>655</v>
      </c>
      <c r="AO22" s="0" t="s">
        <v>651</v>
      </c>
      <c r="AP22" s="0" t="s">
        <v>656</v>
      </c>
    </row>
    <row r="23" customFormat="false" ht="12.75" hidden="false" customHeight="false" outlineLevel="0" collapsed="false">
      <c r="A23" s="0" t="s">
        <v>657</v>
      </c>
      <c r="B23" s="0" t="s">
        <v>658</v>
      </c>
      <c r="C23" s="0" t="s">
        <v>659</v>
      </c>
      <c r="D23" s="0" t="s">
        <v>660</v>
      </c>
      <c r="E23" s="0" t="s">
        <v>661</v>
      </c>
      <c r="F23" s="0" t="s">
        <v>662</v>
      </c>
      <c r="G23" s="0" t="s">
        <v>663</v>
      </c>
      <c r="H23" s="2" t="s">
        <v>664</v>
      </c>
      <c r="I23" s="0" t="s">
        <v>657</v>
      </c>
      <c r="J23" s="0" t="s">
        <v>665</v>
      </c>
      <c r="K23" s="0" t="s">
        <v>666</v>
      </c>
      <c r="L23" s="0" t="s">
        <v>667</v>
      </c>
      <c r="M23" s="0" t="s">
        <v>668</v>
      </c>
      <c r="N23" s="0" t="s">
        <v>657</v>
      </c>
      <c r="O23" s="0" t="s">
        <v>669</v>
      </c>
      <c r="P23" s="0" t="s">
        <v>657</v>
      </c>
      <c r="Q23" s="0" t="s">
        <v>670</v>
      </c>
      <c r="R23" s="0" t="s">
        <v>671</v>
      </c>
      <c r="S23" s="0" t="s">
        <v>672</v>
      </c>
      <c r="T23" s="0" t="s">
        <v>673</v>
      </c>
      <c r="U23" s="0" t="s">
        <v>674</v>
      </c>
      <c r="V23" s="0" t="s">
        <v>675</v>
      </c>
      <c r="W23" s="2" t="s">
        <v>676</v>
      </c>
      <c r="X23" s="0" t="s">
        <v>677</v>
      </c>
      <c r="Y23" s="0" t="s">
        <v>662</v>
      </c>
      <c r="Z23" s="0" t="s">
        <v>678</v>
      </c>
      <c r="AA23" s="0" t="s">
        <v>667</v>
      </c>
      <c r="AB23" s="0" t="s">
        <v>679</v>
      </c>
      <c r="AC23" s="0" t="s">
        <v>680</v>
      </c>
      <c r="AD23" s="0" t="s">
        <v>681</v>
      </c>
      <c r="AE23" s="0" t="s">
        <v>682</v>
      </c>
      <c r="AF23" s="0" t="s">
        <v>683</v>
      </c>
      <c r="AG23" s="0" t="s">
        <v>665</v>
      </c>
      <c r="AH23" s="0" t="s">
        <v>684</v>
      </c>
      <c r="AI23" s="0" t="s">
        <v>665</v>
      </c>
      <c r="AJ23" s="0" t="s">
        <v>657</v>
      </c>
      <c r="AK23" s="0" t="s">
        <v>667</v>
      </c>
      <c r="AL23" s="0" t="s">
        <v>685</v>
      </c>
      <c r="AM23" s="0" t="s">
        <v>686</v>
      </c>
      <c r="AN23" s="0" t="s">
        <v>687</v>
      </c>
      <c r="AO23" s="0" t="s">
        <v>683</v>
      </c>
      <c r="AP23" s="0" t="s">
        <v>688</v>
      </c>
    </row>
    <row r="24" customFormat="false" ht="12.75" hidden="false" customHeight="false" outlineLevel="0" collapsed="false">
      <c r="A24" s="0" t="s">
        <v>689</v>
      </c>
      <c r="B24" s="0" t="s">
        <v>690</v>
      </c>
      <c r="C24" s="0" t="s">
        <v>691</v>
      </c>
      <c r="D24" s="0" t="s">
        <v>692</v>
      </c>
      <c r="E24" s="0" t="s">
        <v>693</v>
      </c>
      <c r="F24" s="0" t="s">
        <v>694</v>
      </c>
      <c r="G24" s="0" t="s">
        <v>695</v>
      </c>
      <c r="H24" s="2" t="s">
        <v>696</v>
      </c>
      <c r="I24" s="0" t="s">
        <v>689</v>
      </c>
      <c r="J24" s="0" t="s">
        <v>697</v>
      </c>
      <c r="K24" s="0" t="s">
        <v>698</v>
      </c>
      <c r="L24" s="0" t="s">
        <v>699</v>
      </c>
      <c r="M24" s="0" t="s">
        <v>700</v>
      </c>
      <c r="N24" s="0" t="s">
        <v>689</v>
      </c>
      <c r="O24" s="0" t="s">
        <v>701</v>
      </c>
      <c r="P24" s="0" t="s">
        <v>689</v>
      </c>
      <c r="Q24" s="0" t="s">
        <v>702</v>
      </c>
      <c r="R24" s="0" t="s">
        <v>703</v>
      </c>
      <c r="S24" s="0" t="s">
        <v>704</v>
      </c>
      <c r="T24" s="0" t="s">
        <v>705</v>
      </c>
      <c r="U24" s="0" t="s">
        <v>706</v>
      </c>
      <c r="V24" s="0" t="s">
        <v>705</v>
      </c>
      <c r="W24" s="2" t="s">
        <v>707</v>
      </c>
      <c r="X24" s="0" t="s">
        <v>708</v>
      </c>
      <c r="Y24" s="0" t="s">
        <v>709</v>
      </c>
      <c r="Z24" s="0" t="s">
        <v>710</v>
      </c>
      <c r="AA24" s="0" t="s">
        <v>699</v>
      </c>
      <c r="AB24" s="0" t="s">
        <v>711</v>
      </c>
      <c r="AC24" s="0" t="s">
        <v>698</v>
      </c>
      <c r="AD24" s="0" t="s">
        <v>705</v>
      </c>
      <c r="AE24" s="0" t="s">
        <v>712</v>
      </c>
      <c r="AF24" s="0" t="s">
        <v>713</v>
      </c>
      <c r="AG24" s="0" t="s">
        <v>697</v>
      </c>
      <c r="AH24" s="0" t="s">
        <v>698</v>
      </c>
      <c r="AI24" s="0" t="s">
        <v>714</v>
      </c>
      <c r="AJ24" s="0" t="s">
        <v>689</v>
      </c>
      <c r="AK24" s="0" t="s">
        <v>715</v>
      </c>
      <c r="AL24" s="0" t="s">
        <v>716</v>
      </c>
      <c r="AM24" s="0" t="s">
        <v>717</v>
      </c>
      <c r="AN24" s="0" t="s">
        <v>718</v>
      </c>
      <c r="AO24" s="0" t="s">
        <v>713</v>
      </c>
      <c r="AP24" s="0" t="s">
        <v>719</v>
      </c>
    </row>
    <row r="25" customFormat="false" ht="12.75" hidden="false" customHeight="false" outlineLevel="0" collapsed="false">
      <c r="A25" s="0" t="s">
        <v>720</v>
      </c>
      <c r="B25" s="0" t="s">
        <v>720</v>
      </c>
      <c r="C25" s="0" t="s">
        <v>721</v>
      </c>
      <c r="D25" s="0" t="s">
        <v>722</v>
      </c>
      <c r="E25" s="0" t="s">
        <v>723</v>
      </c>
      <c r="F25" s="0" t="s">
        <v>724</v>
      </c>
      <c r="G25" s="0" t="s">
        <v>725</v>
      </c>
      <c r="H25" s="2" t="s">
        <v>726</v>
      </c>
      <c r="I25" s="0" t="s">
        <v>720</v>
      </c>
      <c r="J25" s="0" t="s">
        <v>727</v>
      </c>
      <c r="K25" s="0" t="s">
        <v>720</v>
      </c>
      <c r="L25" s="0" t="s">
        <v>720</v>
      </c>
      <c r="M25" s="0" t="s">
        <v>720</v>
      </c>
      <c r="N25" s="0" t="s">
        <v>728</v>
      </c>
      <c r="O25" s="0" t="s">
        <v>729</v>
      </c>
      <c r="P25" s="0" t="s">
        <v>720</v>
      </c>
      <c r="Q25" s="0" t="s">
        <v>730</v>
      </c>
      <c r="R25" s="0" t="s">
        <v>731</v>
      </c>
      <c r="S25" s="0" t="s">
        <v>720</v>
      </c>
      <c r="T25" s="0" t="s">
        <v>720</v>
      </c>
      <c r="U25" s="0" t="s">
        <v>720</v>
      </c>
      <c r="V25" s="0" t="s">
        <v>725</v>
      </c>
      <c r="W25" s="0" t="s">
        <v>732</v>
      </c>
      <c r="X25" s="0" t="s">
        <v>733</v>
      </c>
      <c r="Y25" s="0" t="s">
        <v>734</v>
      </c>
      <c r="Z25" s="0" t="s">
        <v>720</v>
      </c>
      <c r="AA25" s="0" t="s">
        <v>720</v>
      </c>
      <c r="AB25" s="0" t="s">
        <v>735</v>
      </c>
      <c r="AC25" s="0" t="s">
        <v>736</v>
      </c>
      <c r="AD25" s="0" t="s">
        <v>720</v>
      </c>
      <c r="AE25" s="0" t="s">
        <v>737</v>
      </c>
      <c r="AF25" s="0" t="s">
        <v>738</v>
      </c>
      <c r="AG25" s="0" t="s">
        <v>720</v>
      </c>
      <c r="AH25" s="0" t="s">
        <v>720</v>
      </c>
      <c r="AI25" s="0" t="s">
        <v>720</v>
      </c>
      <c r="AJ25" s="0" t="s">
        <v>739</v>
      </c>
      <c r="AK25" s="0" t="s">
        <v>740</v>
      </c>
      <c r="AL25" s="0" t="s">
        <v>741</v>
      </c>
      <c r="AM25" s="0" t="s">
        <v>742</v>
      </c>
      <c r="AN25" s="0" t="s">
        <v>743</v>
      </c>
      <c r="AO25" s="0" t="s">
        <v>744</v>
      </c>
      <c r="AP25" s="0" t="s">
        <v>745</v>
      </c>
    </row>
    <row r="26" customFormat="false" ht="12.75" hidden="false" customHeight="false" outlineLevel="0" collapsed="false">
      <c r="A26" s="0" t="s">
        <v>746</v>
      </c>
      <c r="B26" s="0" t="s">
        <v>747</v>
      </c>
      <c r="C26" s="0" t="s">
        <v>748</v>
      </c>
      <c r="D26" s="0" t="s">
        <v>749</v>
      </c>
      <c r="E26" s="0" t="s">
        <v>750</v>
      </c>
      <c r="F26" s="0" t="s">
        <v>751</v>
      </c>
      <c r="G26" s="0" t="s">
        <v>746</v>
      </c>
      <c r="H26" s="2" t="s">
        <v>752</v>
      </c>
      <c r="I26" s="0" t="s">
        <v>746</v>
      </c>
      <c r="J26" s="0" t="s">
        <v>753</v>
      </c>
      <c r="K26" s="0" t="s">
        <v>746</v>
      </c>
      <c r="L26" s="0" t="s">
        <v>746</v>
      </c>
      <c r="M26" s="0" t="s">
        <v>746</v>
      </c>
      <c r="N26" s="0" t="s">
        <v>754</v>
      </c>
      <c r="O26" s="0" t="s">
        <v>755</v>
      </c>
      <c r="P26" s="0" t="s">
        <v>746</v>
      </c>
      <c r="Q26" s="0" t="s">
        <v>756</v>
      </c>
      <c r="R26" s="0" t="s">
        <v>757</v>
      </c>
      <c r="S26" s="0" t="s">
        <v>746</v>
      </c>
      <c r="T26" s="0" t="s">
        <v>758</v>
      </c>
      <c r="U26" s="0" t="s">
        <v>746</v>
      </c>
      <c r="V26" s="0" t="s">
        <v>746</v>
      </c>
      <c r="W26" s="0" t="s">
        <v>759</v>
      </c>
      <c r="X26" s="0" t="s">
        <v>511</v>
      </c>
      <c r="Y26" s="0" t="s">
        <v>760</v>
      </c>
      <c r="Z26" s="0" t="s">
        <v>761</v>
      </c>
      <c r="AA26" s="0" t="s">
        <v>746</v>
      </c>
      <c r="AB26" s="0" t="s">
        <v>762</v>
      </c>
      <c r="AC26" s="0" t="s">
        <v>763</v>
      </c>
      <c r="AD26" s="0" t="s">
        <v>750</v>
      </c>
      <c r="AE26" s="0" t="s">
        <v>746</v>
      </c>
      <c r="AF26" s="0" t="s">
        <v>760</v>
      </c>
      <c r="AG26" s="0" t="s">
        <v>746</v>
      </c>
      <c r="AH26" s="0" t="s">
        <v>746</v>
      </c>
      <c r="AI26" s="0" t="s">
        <v>746</v>
      </c>
      <c r="AJ26" s="0" t="s">
        <v>746</v>
      </c>
      <c r="AK26" s="0" t="s">
        <v>746</v>
      </c>
      <c r="AL26" s="0" t="s">
        <v>764</v>
      </c>
      <c r="AM26" s="0" t="s">
        <v>765</v>
      </c>
      <c r="AN26" s="0" t="s">
        <v>766</v>
      </c>
      <c r="AO26" s="0" t="s">
        <v>767</v>
      </c>
      <c r="AP26" s="0" t="s">
        <v>768</v>
      </c>
    </row>
    <row r="27" customFormat="false" ht="12.75" hidden="false" customHeight="false" outlineLevel="0" collapsed="false">
      <c r="A27" s="0" t="s">
        <v>559</v>
      </c>
      <c r="B27" s="0" t="s">
        <v>559</v>
      </c>
      <c r="C27" s="0" t="s">
        <v>769</v>
      </c>
      <c r="D27" s="0" t="s">
        <v>770</v>
      </c>
      <c r="E27" s="0" t="s">
        <v>559</v>
      </c>
      <c r="F27" s="0" t="s">
        <v>771</v>
      </c>
      <c r="G27" s="0" t="s">
        <v>559</v>
      </c>
      <c r="H27" s="2" t="s">
        <v>772</v>
      </c>
      <c r="I27" s="0" t="s">
        <v>559</v>
      </c>
      <c r="J27" s="0" t="s">
        <v>773</v>
      </c>
      <c r="K27" s="0" t="s">
        <v>559</v>
      </c>
      <c r="L27" s="0" t="s">
        <v>559</v>
      </c>
      <c r="M27" s="0" t="s">
        <v>774</v>
      </c>
      <c r="N27" s="0" t="s">
        <v>775</v>
      </c>
      <c r="O27" s="0" t="s">
        <v>776</v>
      </c>
      <c r="P27" s="0" t="s">
        <v>777</v>
      </c>
      <c r="Q27" s="0" t="s">
        <v>778</v>
      </c>
      <c r="R27" s="0" t="s">
        <v>779</v>
      </c>
      <c r="S27" s="0" t="s">
        <v>780</v>
      </c>
      <c r="T27" s="0" t="s">
        <v>559</v>
      </c>
      <c r="U27" s="0" t="s">
        <v>559</v>
      </c>
      <c r="V27" s="0" t="s">
        <v>559</v>
      </c>
      <c r="W27" s="0" t="s">
        <v>781</v>
      </c>
      <c r="X27" s="0" t="s">
        <v>782</v>
      </c>
      <c r="Y27" s="0" t="s">
        <v>783</v>
      </c>
      <c r="Z27" s="0" t="s">
        <v>559</v>
      </c>
      <c r="AA27" s="0" t="s">
        <v>559</v>
      </c>
      <c r="AB27" s="0" t="s">
        <v>784</v>
      </c>
      <c r="AC27" s="0" t="s">
        <v>559</v>
      </c>
      <c r="AD27" s="0" t="s">
        <v>559</v>
      </c>
      <c r="AE27" s="0" t="s">
        <v>559</v>
      </c>
      <c r="AF27" s="0" t="s">
        <v>783</v>
      </c>
      <c r="AG27" s="0" t="s">
        <v>559</v>
      </c>
      <c r="AH27" s="0" t="s">
        <v>559</v>
      </c>
      <c r="AI27" s="0" t="s">
        <v>559</v>
      </c>
      <c r="AJ27" s="0" t="s">
        <v>559</v>
      </c>
      <c r="AK27" s="0" t="s">
        <v>785</v>
      </c>
      <c r="AL27" s="0" t="s">
        <v>786</v>
      </c>
      <c r="AM27" s="0" t="s">
        <v>559</v>
      </c>
      <c r="AN27" s="0" t="s">
        <v>787</v>
      </c>
      <c r="AO27" s="0" t="s">
        <v>788</v>
      </c>
      <c r="AP27" s="0" t="s">
        <v>789</v>
      </c>
    </row>
    <row r="28" customFormat="false" ht="12.75" hidden="false" customHeight="false" outlineLevel="0" collapsed="false">
      <c r="A28" s="0" t="s">
        <v>790</v>
      </c>
      <c r="B28" s="0" t="s">
        <v>791</v>
      </c>
      <c r="C28" s="0" t="s">
        <v>792</v>
      </c>
      <c r="D28" s="0" t="s">
        <v>793</v>
      </c>
      <c r="E28" s="0" t="s">
        <v>790</v>
      </c>
      <c r="F28" s="0" t="s">
        <v>794</v>
      </c>
      <c r="G28" s="0" t="s">
        <v>795</v>
      </c>
      <c r="H28" s="2" t="s">
        <v>796</v>
      </c>
      <c r="I28" s="0" t="s">
        <v>790</v>
      </c>
      <c r="J28" s="0" t="s">
        <v>797</v>
      </c>
      <c r="K28" s="0" t="s">
        <v>790</v>
      </c>
      <c r="L28" s="0" t="s">
        <v>790</v>
      </c>
      <c r="M28" s="0" t="s">
        <v>790</v>
      </c>
      <c r="N28" s="0" t="s">
        <v>798</v>
      </c>
      <c r="O28" s="0" t="s">
        <v>799</v>
      </c>
      <c r="P28" s="0" t="s">
        <v>790</v>
      </c>
      <c r="Q28" s="0" t="s">
        <v>800</v>
      </c>
      <c r="R28" s="0" t="s">
        <v>801</v>
      </c>
      <c r="S28" s="0" t="s">
        <v>802</v>
      </c>
      <c r="T28" s="0" t="s">
        <v>790</v>
      </c>
      <c r="U28" s="0" t="s">
        <v>790</v>
      </c>
      <c r="V28" s="0" t="s">
        <v>790</v>
      </c>
      <c r="W28" s="0" t="s">
        <v>803</v>
      </c>
      <c r="X28" s="0" t="s">
        <v>804</v>
      </c>
      <c r="Y28" s="0" t="s">
        <v>805</v>
      </c>
      <c r="Z28" s="0" t="s">
        <v>790</v>
      </c>
      <c r="AA28" s="0" t="s">
        <v>790</v>
      </c>
      <c r="AB28" s="0" t="s">
        <v>806</v>
      </c>
      <c r="AC28" s="0" t="s">
        <v>807</v>
      </c>
      <c r="AD28" s="0" t="s">
        <v>795</v>
      </c>
      <c r="AE28" s="0" t="s">
        <v>790</v>
      </c>
      <c r="AF28" s="0" t="s">
        <v>805</v>
      </c>
      <c r="AG28" s="0" t="s">
        <v>790</v>
      </c>
      <c r="AH28" s="0" t="s">
        <v>790</v>
      </c>
      <c r="AI28" s="0" t="s">
        <v>790</v>
      </c>
      <c r="AJ28" s="0" t="s">
        <v>795</v>
      </c>
      <c r="AK28" s="0" t="s">
        <v>808</v>
      </c>
      <c r="AL28" s="0" t="s">
        <v>809</v>
      </c>
      <c r="AM28" s="0" t="s">
        <v>810</v>
      </c>
      <c r="AN28" s="0" t="s">
        <v>811</v>
      </c>
      <c r="AO28" s="0" t="s">
        <v>812</v>
      </c>
      <c r="AP28" s="0" t="s">
        <v>813</v>
      </c>
    </row>
    <row r="29" customFormat="false" ht="12.75" hidden="false" customHeight="false" outlineLevel="0" collapsed="false">
      <c r="A29" s="0" t="s">
        <v>814</v>
      </c>
      <c r="B29" s="0" t="s">
        <v>815</v>
      </c>
      <c r="C29" s="0" t="s">
        <v>816</v>
      </c>
      <c r="D29" s="0" t="s">
        <v>817</v>
      </c>
      <c r="E29" s="0" t="s">
        <v>814</v>
      </c>
      <c r="F29" s="0" t="s">
        <v>818</v>
      </c>
      <c r="G29" s="0" t="s">
        <v>819</v>
      </c>
      <c r="H29" s="2" t="s">
        <v>820</v>
      </c>
      <c r="I29" s="0" t="s">
        <v>814</v>
      </c>
      <c r="J29" s="0" t="s">
        <v>821</v>
      </c>
      <c r="K29" s="0" t="s">
        <v>814</v>
      </c>
      <c r="L29" s="0" t="s">
        <v>815</v>
      </c>
      <c r="M29" s="0" t="s">
        <v>822</v>
      </c>
      <c r="N29" s="0" t="s">
        <v>819</v>
      </c>
      <c r="O29" s="0" t="s">
        <v>823</v>
      </c>
      <c r="P29" s="0" t="s">
        <v>819</v>
      </c>
      <c r="Q29" s="0" t="s">
        <v>824</v>
      </c>
      <c r="R29" s="0" t="s">
        <v>825</v>
      </c>
      <c r="S29" s="0" t="s">
        <v>826</v>
      </c>
      <c r="T29" s="0" t="s">
        <v>822</v>
      </c>
      <c r="U29" s="0" t="s">
        <v>827</v>
      </c>
      <c r="V29" s="0" t="s">
        <v>828</v>
      </c>
      <c r="W29" s="0" t="s">
        <v>829</v>
      </c>
      <c r="X29" s="0" t="s">
        <v>830</v>
      </c>
      <c r="Y29" s="0" t="s">
        <v>831</v>
      </c>
      <c r="Z29" s="0" t="s">
        <v>832</v>
      </c>
      <c r="AA29" s="0" t="s">
        <v>819</v>
      </c>
      <c r="AB29" s="0" t="s">
        <v>833</v>
      </c>
      <c r="AC29" s="0" t="s">
        <v>815</v>
      </c>
      <c r="AD29" s="0" t="s">
        <v>819</v>
      </c>
      <c r="AE29" s="0" t="s">
        <v>819</v>
      </c>
      <c r="AF29" s="0" t="s">
        <v>818</v>
      </c>
      <c r="AG29" s="0" t="s">
        <v>815</v>
      </c>
      <c r="AH29" s="0" t="s">
        <v>826</v>
      </c>
      <c r="AI29" s="0" t="s">
        <v>815</v>
      </c>
      <c r="AJ29" s="0" t="s">
        <v>814</v>
      </c>
      <c r="AK29" s="0" t="s">
        <v>834</v>
      </c>
      <c r="AL29" s="0" t="s">
        <v>835</v>
      </c>
      <c r="AM29" s="0" t="s">
        <v>814</v>
      </c>
      <c r="AN29" s="0" t="s">
        <v>836</v>
      </c>
      <c r="AO29" s="0" t="s">
        <v>837</v>
      </c>
      <c r="AP29" s="0" t="s">
        <v>838</v>
      </c>
    </row>
    <row r="30" customFormat="false" ht="12.75" hidden="false" customHeight="false" outlineLevel="0" collapsed="false">
      <c r="A30" s="0" t="s">
        <v>839</v>
      </c>
      <c r="B30" s="0" t="s">
        <v>840</v>
      </c>
      <c r="C30" s="0" t="s">
        <v>841</v>
      </c>
      <c r="D30" s="0" t="s">
        <v>842</v>
      </c>
      <c r="E30" s="0" t="s">
        <v>843</v>
      </c>
      <c r="F30" s="0" t="s">
        <v>844</v>
      </c>
      <c r="G30" s="0" t="s">
        <v>839</v>
      </c>
      <c r="H30" s="2" t="s">
        <v>845</v>
      </c>
      <c r="I30" s="0" t="s">
        <v>839</v>
      </c>
      <c r="J30" s="0" t="s">
        <v>846</v>
      </c>
      <c r="K30" s="0" t="s">
        <v>847</v>
      </c>
      <c r="L30" s="0" t="s">
        <v>839</v>
      </c>
      <c r="M30" s="0" t="s">
        <v>839</v>
      </c>
      <c r="N30" s="0" t="s">
        <v>848</v>
      </c>
      <c r="O30" s="0" t="s">
        <v>849</v>
      </c>
      <c r="P30" s="0" t="s">
        <v>839</v>
      </c>
      <c r="Q30" s="0" t="s">
        <v>850</v>
      </c>
      <c r="R30" s="0" t="s">
        <v>851</v>
      </c>
      <c r="S30" s="0" t="s">
        <v>852</v>
      </c>
      <c r="T30" s="0" t="s">
        <v>839</v>
      </c>
      <c r="U30" s="0" t="s">
        <v>852</v>
      </c>
      <c r="V30" s="0" t="s">
        <v>853</v>
      </c>
      <c r="W30" s="0" t="s">
        <v>854</v>
      </c>
      <c r="X30" s="0" t="s">
        <v>855</v>
      </c>
      <c r="Y30" s="0" t="s">
        <v>856</v>
      </c>
      <c r="Z30" s="0" t="s">
        <v>857</v>
      </c>
      <c r="AA30" s="0" t="s">
        <v>839</v>
      </c>
      <c r="AB30" s="0" t="s">
        <v>858</v>
      </c>
      <c r="AC30" s="0" t="s">
        <v>859</v>
      </c>
      <c r="AD30" s="0" t="s">
        <v>839</v>
      </c>
      <c r="AE30" s="0" t="s">
        <v>860</v>
      </c>
      <c r="AF30" s="0" t="s">
        <v>861</v>
      </c>
      <c r="AG30" s="0" t="s">
        <v>839</v>
      </c>
      <c r="AH30" s="0" t="s">
        <v>852</v>
      </c>
      <c r="AI30" s="0" t="s">
        <v>839</v>
      </c>
      <c r="AJ30" s="0" t="s">
        <v>839</v>
      </c>
      <c r="AK30" s="0" t="s">
        <v>862</v>
      </c>
      <c r="AL30" s="0" t="s">
        <v>863</v>
      </c>
      <c r="AM30" s="0" t="s">
        <v>864</v>
      </c>
      <c r="AN30" s="0" t="s">
        <v>865</v>
      </c>
      <c r="AO30" s="0" t="s">
        <v>866</v>
      </c>
      <c r="AP30" s="0" t="s">
        <v>867</v>
      </c>
    </row>
    <row r="31" customFormat="false" ht="12.75" hidden="false" customHeight="false" outlineLevel="0" collapsed="false">
      <c r="A31" s="0" t="s">
        <v>868</v>
      </c>
      <c r="B31" s="0" t="s">
        <v>869</v>
      </c>
      <c r="C31" s="0" t="s">
        <v>870</v>
      </c>
      <c r="D31" s="0" t="s">
        <v>871</v>
      </c>
      <c r="E31" s="0" t="s">
        <v>872</v>
      </c>
      <c r="F31" s="0" t="s">
        <v>873</v>
      </c>
      <c r="G31" s="0" t="s">
        <v>868</v>
      </c>
      <c r="H31" s="2" t="s">
        <v>874</v>
      </c>
      <c r="I31" s="0" t="s">
        <v>868</v>
      </c>
      <c r="J31" s="0" t="s">
        <v>875</v>
      </c>
      <c r="K31" s="0" t="s">
        <v>876</v>
      </c>
      <c r="L31" s="0" t="s">
        <v>868</v>
      </c>
      <c r="M31" s="0" t="s">
        <v>868</v>
      </c>
      <c r="N31" s="0" t="s">
        <v>877</v>
      </c>
      <c r="O31" s="0" t="s">
        <v>878</v>
      </c>
      <c r="P31" s="0" t="s">
        <v>868</v>
      </c>
      <c r="Q31" s="0" t="s">
        <v>879</v>
      </c>
      <c r="R31" s="0" t="s">
        <v>880</v>
      </c>
      <c r="S31" s="0" t="s">
        <v>881</v>
      </c>
      <c r="T31" s="0" t="s">
        <v>868</v>
      </c>
      <c r="U31" s="0" t="s">
        <v>881</v>
      </c>
      <c r="V31" s="0" t="s">
        <v>882</v>
      </c>
      <c r="W31" s="0" t="s">
        <v>883</v>
      </c>
      <c r="X31" s="0" t="s">
        <v>884</v>
      </c>
      <c r="Y31" s="0" t="s">
        <v>885</v>
      </c>
      <c r="Z31" s="0" t="s">
        <v>886</v>
      </c>
      <c r="AA31" s="0" t="s">
        <v>868</v>
      </c>
      <c r="AB31" s="0" t="s">
        <v>887</v>
      </c>
      <c r="AC31" s="0" t="s">
        <v>846</v>
      </c>
      <c r="AD31" s="0" t="s">
        <v>868</v>
      </c>
      <c r="AE31" s="0" t="s">
        <v>888</v>
      </c>
      <c r="AF31" s="0" t="s">
        <v>889</v>
      </c>
      <c r="AG31" s="0" t="s">
        <v>868</v>
      </c>
      <c r="AH31" s="0" t="s">
        <v>881</v>
      </c>
      <c r="AI31" s="0" t="s">
        <v>868</v>
      </c>
      <c r="AJ31" s="0" t="s">
        <v>868</v>
      </c>
      <c r="AK31" s="0" t="s">
        <v>890</v>
      </c>
      <c r="AL31" s="0" t="s">
        <v>891</v>
      </c>
      <c r="AM31" s="0" t="s">
        <v>892</v>
      </c>
      <c r="AN31" s="0" t="s">
        <v>893</v>
      </c>
      <c r="AO31" s="0" t="s">
        <v>894</v>
      </c>
      <c r="AP31" s="0" t="s">
        <v>895</v>
      </c>
    </row>
    <row r="32" customFormat="false" ht="12.75" hidden="false" customHeight="false" outlineLevel="0" collapsed="false">
      <c r="A32" s="0" t="s">
        <v>896</v>
      </c>
      <c r="B32" s="0" t="s">
        <v>897</v>
      </c>
      <c r="C32" s="0" t="s">
        <v>898</v>
      </c>
      <c r="D32" s="0" t="s">
        <v>899</v>
      </c>
      <c r="E32" s="0" t="s">
        <v>900</v>
      </c>
      <c r="F32" s="0" t="s">
        <v>901</v>
      </c>
      <c r="G32" s="0" t="s">
        <v>902</v>
      </c>
      <c r="H32" s="2" t="s">
        <v>903</v>
      </c>
      <c r="I32" s="0" t="s">
        <v>896</v>
      </c>
      <c r="J32" s="0" t="s">
        <v>904</v>
      </c>
      <c r="K32" s="0" t="s">
        <v>896</v>
      </c>
      <c r="L32" s="0" t="s">
        <v>896</v>
      </c>
      <c r="M32" s="0" t="s">
        <v>896</v>
      </c>
      <c r="N32" s="0" t="s">
        <v>905</v>
      </c>
      <c r="O32" s="0" t="s">
        <v>906</v>
      </c>
      <c r="P32" s="0" t="s">
        <v>896</v>
      </c>
      <c r="Q32" s="0" t="s">
        <v>907</v>
      </c>
      <c r="R32" s="0" t="s">
        <v>908</v>
      </c>
      <c r="S32" s="0" t="s">
        <v>896</v>
      </c>
      <c r="T32" s="0" t="s">
        <v>909</v>
      </c>
      <c r="U32" s="0" t="s">
        <v>910</v>
      </c>
      <c r="V32" s="0" t="s">
        <v>902</v>
      </c>
      <c r="W32" s="0" t="s">
        <v>911</v>
      </c>
      <c r="X32" s="0" t="s">
        <v>912</v>
      </c>
      <c r="Y32" s="0" t="s">
        <v>913</v>
      </c>
      <c r="Z32" s="0" t="s">
        <v>914</v>
      </c>
      <c r="AA32" s="0" t="s">
        <v>896</v>
      </c>
      <c r="AB32" s="0" t="s">
        <v>915</v>
      </c>
      <c r="AC32" s="0" t="s">
        <v>916</v>
      </c>
      <c r="AD32" s="0" t="s">
        <v>902</v>
      </c>
      <c r="AE32" s="0" t="s">
        <v>896</v>
      </c>
      <c r="AF32" s="0" t="s">
        <v>913</v>
      </c>
      <c r="AG32" s="0" t="s">
        <v>917</v>
      </c>
      <c r="AH32" s="0" t="s">
        <v>896</v>
      </c>
      <c r="AI32" s="0" t="s">
        <v>917</v>
      </c>
      <c r="AJ32" s="0" t="s">
        <v>902</v>
      </c>
      <c r="AK32" s="0" t="s">
        <v>896</v>
      </c>
      <c r="AL32" s="0" t="s">
        <v>918</v>
      </c>
      <c r="AM32" s="0" t="s">
        <v>919</v>
      </c>
      <c r="AN32" s="0" t="s">
        <v>920</v>
      </c>
      <c r="AO32" s="0" t="s">
        <v>921</v>
      </c>
      <c r="AP32" s="0" t="s">
        <v>922</v>
      </c>
    </row>
    <row r="33" customFormat="false" ht="12.75" hidden="false" customHeight="false" outlineLevel="0" collapsed="false">
      <c r="A33" s="0" t="s">
        <v>923</v>
      </c>
      <c r="B33" s="0" t="s">
        <v>924</v>
      </c>
      <c r="C33" s="0" t="s">
        <v>925</v>
      </c>
      <c r="D33" s="0" t="s">
        <v>926</v>
      </c>
      <c r="E33" s="0" t="s">
        <v>543</v>
      </c>
      <c r="F33" s="0" t="s">
        <v>927</v>
      </c>
      <c r="G33" s="0" t="s">
        <v>928</v>
      </c>
      <c r="H33" s="2" t="s">
        <v>929</v>
      </c>
      <c r="I33" s="0" t="s">
        <v>923</v>
      </c>
      <c r="J33" s="0" t="s">
        <v>930</v>
      </c>
      <c r="K33" s="0" t="s">
        <v>923</v>
      </c>
      <c r="L33" s="0" t="s">
        <v>923</v>
      </c>
      <c r="M33" s="0" t="s">
        <v>923</v>
      </c>
      <c r="N33" s="0" t="s">
        <v>931</v>
      </c>
      <c r="O33" s="0" t="s">
        <v>932</v>
      </c>
      <c r="P33" s="0" t="s">
        <v>923</v>
      </c>
      <c r="Q33" s="0" t="s">
        <v>933</v>
      </c>
      <c r="R33" s="0" t="s">
        <v>934</v>
      </c>
      <c r="S33" s="0" t="s">
        <v>935</v>
      </c>
      <c r="T33" s="0" t="s">
        <v>923</v>
      </c>
      <c r="U33" s="0" t="s">
        <v>923</v>
      </c>
      <c r="V33" s="0" t="s">
        <v>928</v>
      </c>
      <c r="W33" s="0" t="s">
        <v>936</v>
      </c>
      <c r="X33" s="0" t="s">
        <v>937</v>
      </c>
      <c r="Y33" s="0" t="s">
        <v>938</v>
      </c>
      <c r="Z33" s="0" t="s">
        <v>928</v>
      </c>
      <c r="AA33" s="0" t="s">
        <v>923</v>
      </c>
      <c r="AB33" s="0" t="s">
        <v>939</v>
      </c>
      <c r="AC33" s="0" t="s">
        <v>940</v>
      </c>
      <c r="AD33" s="0" t="s">
        <v>928</v>
      </c>
      <c r="AE33" s="0" t="s">
        <v>923</v>
      </c>
      <c r="AF33" s="0" t="s">
        <v>941</v>
      </c>
      <c r="AG33" s="0" t="s">
        <v>923</v>
      </c>
      <c r="AH33" s="0" t="s">
        <v>923</v>
      </c>
      <c r="AI33" s="0" t="s">
        <v>923</v>
      </c>
      <c r="AJ33" s="0" t="s">
        <v>923</v>
      </c>
      <c r="AK33" s="0" t="s">
        <v>942</v>
      </c>
      <c r="AL33" s="0" t="s">
        <v>943</v>
      </c>
      <c r="AM33" s="0" t="s">
        <v>944</v>
      </c>
      <c r="AN33" s="0" t="s">
        <v>945</v>
      </c>
      <c r="AO33" s="0" t="s">
        <v>946</v>
      </c>
      <c r="AP33" s="0" t="s">
        <v>947</v>
      </c>
    </row>
    <row r="34" customFormat="false" ht="12.75" hidden="false" customHeight="false" outlineLevel="0" collapsed="false">
      <c r="A34" s="0" t="s">
        <v>948</v>
      </c>
      <c r="B34" s="0" t="s">
        <v>949</v>
      </c>
      <c r="C34" s="0" t="s">
        <v>950</v>
      </c>
      <c r="D34" s="0" t="s">
        <v>951</v>
      </c>
      <c r="E34" s="0" t="s">
        <v>952</v>
      </c>
      <c r="F34" s="0" t="s">
        <v>953</v>
      </c>
      <c r="G34" s="0" t="s">
        <v>948</v>
      </c>
      <c r="H34" s="2" t="s">
        <v>954</v>
      </c>
      <c r="I34" s="0" t="s">
        <v>948</v>
      </c>
      <c r="J34" s="0" t="s">
        <v>955</v>
      </c>
      <c r="K34" s="0" t="s">
        <v>948</v>
      </c>
      <c r="L34" s="0" t="s">
        <v>952</v>
      </c>
      <c r="M34" s="0" t="s">
        <v>952</v>
      </c>
      <c r="N34" s="0" t="s">
        <v>948</v>
      </c>
      <c r="O34" s="0" t="s">
        <v>956</v>
      </c>
      <c r="P34" s="0" t="s">
        <v>952</v>
      </c>
      <c r="Q34" s="0" t="s">
        <v>957</v>
      </c>
      <c r="R34" s="0" t="s">
        <v>958</v>
      </c>
      <c r="S34" s="0" t="s">
        <v>952</v>
      </c>
      <c r="T34" s="0" t="s">
        <v>952</v>
      </c>
      <c r="U34" s="0" t="s">
        <v>952</v>
      </c>
      <c r="V34" s="0" t="s">
        <v>959</v>
      </c>
      <c r="W34" s="0" t="s">
        <v>960</v>
      </c>
      <c r="X34" s="0" t="s">
        <v>961</v>
      </c>
      <c r="Y34" s="0" t="s">
        <v>962</v>
      </c>
      <c r="Z34" s="0" t="s">
        <v>959</v>
      </c>
      <c r="AA34" s="0" t="s">
        <v>952</v>
      </c>
      <c r="AB34" s="0" t="s">
        <v>963</v>
      </c>
      <c r="AC34" s="0" t="s">
        <v>964</v>
      </c>
      <c r="AD34" s="0" t="s">
        <v>965</v>
      </c>
      <c r="AE34" s="0" t="s">
        <v>948</v>
      </c>
      <c r="AF34" s="0" t="s">
        <v>962</v>
      </c>
      <c r="AG34" s="0" t="s">
        <v>952</v>
      </c>
      <c r="AH34" s="0" t="s">
        <v>952</v>
      </c>
      <c r="AI34" s="0" t="s">
        <v>948</v>
      </c>
      <c r="AJ34" s="0" t="s">
        <v>948</v>
      </c>
      <c r="AK34" s="0" t="s">
        <v>966</v>
      </c>
      <c r="AL34" s="0" t="s">
        <v>967</v>
      </c>
      <c r="AM34" s="0" t="s">
        <v>968</v>
      </c>
      <c r="AN34" s="0" t="s">
        <v>969</v>
      </c>
      <c r="AO34" s="0" t="s">
        <v>970</v>
      </c>
      <c r="AP34" s="0" t="s">
        <v>971</v>
      </c>
    </row>
    <row r="35" customFormat="false" ht="12.75" hidden="false" customHeight="false" outlineLevel="0" collapsed="false">
      <c r="A35" s="0" t="s">
        <v>972</v>
      </c>
      <c r="B35" s="0" t="s">
        <v>973</v>
      </c>
      <c r="C35" s="0" t="s">
        <v>974</v>
      </c>
      <c r="D35" s="0" t="s">
        <v>975</v>
      </c>
      <c r="E35" s="0" t="s">
        <v>976</v>
      </c>
      <c r="F35" s="0" t="s">
        <v>977</v>
      </c>
      <c r="G35" s="0" t="s">
        <v>972</v>
      </c>
      <c r="H35" s="2" t="s">
        <v>978</v>
      </c>
      <c r="I35" s="0" t="s">
        <v>972</v>
      </c>
      <c r="J35" s="0" t="s">
        <v>979</v>
      </c>
      <c r="K35" s="0" t="s">
        <v>972</v>
      </c>
      <c r="L35" s="0" t="s">
        <v>972</v>
      </c>
      <c r="M35" s="0" t="s">
        <v>972</v>
      </c>
      <c r="N35" s="0" t="s">
        <v>972</v>
      </c>
      <c r="O35" s="0" t="s">
        <v>980</v>
      </c>
      <c r="P35" s="0" t="s">
        <v>972</v>
      </c>
      <c r="Q35" s="0" t="s">
        <v>981</v>
      </c>
      <c r="R35" s="0" t="s">
        <v>982</v>
      </c>
      <c r="S35" s="0" t="s">
        <v>972</v>
      </c>
      <c r="T35" s="0" t="s">
        <v>983</v>
      </c>
      <c r="U35" s="0" t="s">
        <v>984</v>
      </c>
      <c r="V35" s="0" t="s">
        <v>972</v>
      </c>
      <c r="W35" s="0" t="s">
        <v>985</v>
      </c>
      <c r="X35" s="0" t="s">
        <v>986</v>
      </c>
      <c r="Y35" s="0" t="s">
        <v>987</v>
      </c>
      <c r="Z35" s="0" t="s">
        <v>972</v>
      </c>
      <c r="AA35" s="0" t="s">
        <v>972</v>
      </c>
      <c r="AB35" s="0" t="s">
        <v>988</v>
      </c>
      <c r="AC35" s="0" t="s">
        <v>955</v>
      </c>
      <c r="AD35" s="0" t="s">
        <v>972</v>
      </c>
      <c r="AE35" s="0" t="s">
        <v>989</v>
      </c>
      <c r="AF35" s="0" t="s">
        <v>990</v>
      </c>
      <c r="AG35" s="0" t="s">
        <v>972</v>
      </c>
      <c r="AH35" s="0" t="s">
        <v>972</v>
      </c>
      <c r="AI35" s="0" t="s">
        <v>972</v>
      </c>
      <c r="AJ35" s="0" t="s">
        <v>972</v>
      </c>
      <c r="AK35" s="0" t="s">
        <v>991</v>
      </c>
      <c r="AL35" s="0" t="s">
        <v>992</v>
      </c>
      <c r="AM35" s="0" t="s">
        <v>993</v>
      </c>
      <c r="AN35" s="0" t="s">
        <v>994</v>
      </c>
      <c r="AO35" s="0" t="s">
        <v>995</v>
      </c>
      <c r="AP35" s="0" t="s">
        <v>996</v>
      </c>
    </row>
    <row r="36" customFormat="false" ht="12.75" hidden="false" customHeight="false" outlineLevel="0" collapsed="false">
      <c r="A36" s="0" t="s">
        <v>997</v>
      </c>
      <c r="B36" s="0" t="s">
        <v>998</v>
      </c>
      <c r="C36" s="0" t="s">
        <v>999</v>
      </c>
      <c r="D36" s="0" t="s">
        <v>1000</v>
      </c>
      <c r="E36" s="0" t="s">
        <v>1001</v>
      </c>
      <c r="F36" s="0" t="s">
        <v>1002</v>
      </c>
      <c r="G36" s="0" t="s">
        <v>1003</v>
      </c>
      <c r="H36" s="2" t="s">
        <v>1004</v>
      </c>
      <c r="I36" s="0" t="s">
        <v>997</v>
      </c>
      <c r="J36" s="0" t="s">
        <v>1005</v>
      </c>
      <c r="K36" s="0" t="s">
        <v>997</v>
      </c>
      <c r="L36" s="0" t="s">
        <v>997</v>
      </c>
      <c r="M36" s="0" t="s">
        <v>997</v>
      </c>
      <c r="N36" s="0" t="s">
        <v>1006</v>
      </c>
      <c r="O36" s="0" t="s">
        <v>1007</v>
      </c>
      <c r="P36" s="0" t="s">
        <v>1008</v>
      </c>
      <c r="Q36" s="0" t="s">
        <v>1009</v>
      </c>
      <c r="R36" s="0" t="s">
        <v>1010</v>
      </c>
      <c r="S36" s="0" t="s">
        <v>997</v>
      </c>
      <c r="T36" s="0" t="s">
        <v>1003</v>
      </c>
      <c r="U36" s="0" t="s">
        <v>1003</v>
      </c>
      <c r="V36" s="0" t="s">
        <v>1011</v>
      </c>
      <c r="W36" s="0" t="s">
        <v>1012</v>
      </c>
      <c r="X36" s="0" t="s">
        <v>1013</v>
      </c>
      <c r="Y36" s="0" t="s">
        <v>1014</v>
      </c>
      <c r="Z36" s="0" t="s">
        <v>1015</v>
      </c>
      <c r="AA36" s="0" t="s">
        <v>1003</v>
      </c>
      <c r="AB36" s="0" t="s">
        <v>1016</v>
      </c>
      <c r="AC36" s="0" t="s">
        <v>1017</v>
      </c>
      <c r="AD36" s="0" t="s">
        <v>1008</v>
      </c>
      <c r="AE36" s="0" t="s">
        <v>997</v>
      </c>
      <c r="AF36" s="0" t="s">
        <v>1014</v>
      </c>
      <c r="AG36" s="0" t="s">
        <v>997</v>
      </c>
      <c r="AH36" s="0" t="s">
        <v>997</v>
      </c>
      <c r="AI36" s="0" t="s">
        <v>997</v>
      </c>
      <c r="AJ36" s="0" t="s">
        <v>1011</v>
      </c>
      <c r="AK36" s="0" t="s">
        <v>1018</v>
      </c>
      <c r="AL36" s="0" t="s">
        <v>1019</v>
      </c>
      <c r="AM36" s="0" t="s">
        <v>1020</v>
      </c>
      <c r="AN36" s="0" t="s">
        <v>1021</v>
      </c>
      <c r="AO36" s="0" t="s">
        <v>1022</v>
      </c>
      <c r="AP36" s="0" t="s">
        <v>1023</v>
      </c>
    </row>
    <row r="37" customFormat="false" ht="12.75" hidden="false" customHeight="false" outlineLevel="0" collapsed="false">
      <c r="A37" s="0" t="s">
        <v>1024</v>
      </c>
      <c r="B37" s="0" t="s">
        <v>1025</v>
      </c>
      <c r="C37" s="0" t="s">
        <v>1026</v>
      </c>
      <c r="D37" s="0" t="s">
        <v>1027</v>
      </c>
      <c r="E37" s="0" t="s">
        <v>1028</v>
      </c>
      <c r="F37" s="0" t="s">
        <v>1029</v>
      </c>
      <c r="G37" s="0" t="s">
        <v>1030</v>
      </c>
      <c r="H37" s="2" t="s">
        <v>1031</v>
      </c>
      <c r="I37" s="2" t="s">
        <v>1032</v>
      </c>
      <c r="J37" s="0" t="s">
        <v>1024</v>
      </c>
      <c r="K37" s="0" t="s">
        <v>1024</v>
      </c>
      <c r="L37" s="0" t="s">
        <v>1033</v>
      </c>
      <c r="M37" s="0" t="s">
        <v>1024</v>
      </c>
      <c r="N37" s="0" t="s">
        <v>1034</v>
      </c>
      <c r="O37" s="0" t="s">
        <v>1035</v>
      </c>
      <c r="P37" s="0" t="s">
        <v>1024</v>
      </c>
      <c r="Q37" s="0" t="s">
        <v>1036</v>
      </c>
      <c r="R37" s="0" t="s">
        <v>1037</v>
      </c>
      <c r="S37" s="0" t="s">
        <v>1038</v>
      </c>
      <c r="T37" s="0" t="s">
        <v>1039</v>
      </c>
      <c r="U37" s="0" t="s">
        <v>1040</v>
      </c>
      <c r="V37" s="0" t="s">
        <v>1041</v>
      </c>
      <c r="W37" s="2" t="s">
        <v>1042</v>
      </c>
      <c r="X37" s="0" t="s">
        <v>1028</v>
      </c>
      <c r="Y37" s="0" t="s">
        <v>1043</v>
      </c>
      <c r="Z37" s="0" t="s">
        <v>1039</v>
      </c>
      <c r="AA37" s="0" t="s">
        <v>1044</v>
      </c>
      <c r="AB37" s="0" t="s">
        <v>1045</v>
      </c>
      <c r="AC37" s="0" t="s">
        <v>1046</v>
      </c>
      <c r="AD37" s="0" t="s">
        <v>1047</v>
      </c>
      <c r="AE37" s="0" t="s">
        <v>1048</v>
      </c>
      <c r="AF37" s="0" t="s">
        <v>1049</v>
      </c>
      <c r="AG37" s="0" t="s">
        <v>1050</v>
      </c>
      <c r="AH37" s="0" t="s">
        <v>1051</v>
      </c>
      <c r="AI37" s="0" t="s">
        <v>1052</v>
      </c>
      <c r="AJ37" s="0" t="s">
        <v>1053</v>
      </c>
      <c r="AK37" s="0" t="s">
        <v>1044</v>
      </c>
      <c r="AL37" s="0" t="s">
        <v>1054</v>
      </c>
      <c r="AM37" s="0" t="s">
        <v>1055</v>
      </c>
      <c r="AN37" s="0" t="s">
        <v>1056</v>
      </c>
      <c r="AO37" s="0" t="s">
        <v>1049</v>
      </c>
      <c r="AP37" s="0" t="s">
        <v>1057</v>
      </c>
    </row>
    <row r="38" customFormat="false" ht="12.75" hidden="false" customHeight="false" outlineLevel="0" collapsed="false">
      <c r="A38" s="1" t="s">
        <v>1058</v>
      </c>
      <c r="B38" s="0" t="s">
        <v>1059</v>
      </c>
      <c r="C38" s="0" t="s">
        <v>1060</v>
      </c>
      <c r="D38" s="0" t="s">
        <v>1061</v>
      </c>
      <c r="E38" s="0" t="s">
        <v>1062</v>
      </c>
      <c r="F38" s="0" t="s">
        <v>1063</v>
      </c>
      <c r="G38" s="0" t="s">
        <v>1064</v>
      </c>
      <c r="H38" s="2" t="s">
        <v>1065</v>
      </c>
      <c r="I38" s="2" t="s">
        <v>1066</v>
      </c>
      <c r="J38" s="0" t="s">
        <v>1067</v>
      </c>
      <c r="K38" s="0" t="s">
        <v>1068</v>
      </c>
      <c r="L38" s="0" t="s">
        <v>1069</v>
      </c>
      <c r="M38" s="0" t="s">
        <v>1070</v>
      </c>
      <c r="N38" s="0" t="s">
        <v>1071</v>
      </c>
      <c r="O38" s="0" t="s">
        <v>1058</v>
      </c>
      <c r="P38" s="0" t="s">
        <v>1069</v>
      </c>
      <c r="Q38" s="0" t="s">
        <v>1072</v>
      </c>
      <c r="R38" s="0" t="s">
        <v>1073</v>
      </c>
      <c r="S38" s="0" t="s">
        <v>1074</v>
      </c>
      <c r="T38" s="0" t="s">
        <v>1058</v>
      </c>
      <c r="U38" s="0" t="s">
        <v>1075</v>
      </c>
      <c r="V38" s="0" t="s">
        <v>1058</v>
      </c>
      <c r="W38" s="2" t="s">
        <v>1076</v>
      </c>
      <c r="X38" s="0" t="s">
        <v>1067</v>
      </c>
      <c r="Y38" s="0" t="s">
        <v>1077</v>
      </c>
      <c r="Z38" s="0" t="s">
        <v>1067</v>
      </c>
      <c r="AA38" s="0" t="s">
        <v>1058</v>
      </c>
      <c r="AB38" s="0" t="s">
        <v>1078</v>
      </c>
      <c r="AC38" s="0" t="s">
        <v>1058</v>
      </c>
      <c r="AD38" s="0" t="s">
        <v>1079</v>
      </c>
      <c r="AE38" s="0" t="s">
        <v>1058</v>
      </c>
      <c r="AF38" s="0" t="s">
        <v>1063</v>
      </c>
      <c r="AG38" s="0" t="s">
        <v>1077</v>
      </c>
      <c r="AH38" s="0" t="s">
        <v>1080</v>
      </c>
      <c r="AI38" s="0" t="s">
        <v>1067</v>
      </c>
      <c r="AJ38" s="0" t="s">
        <v>1058</v>
      </c>
      <c r="AK38" s="0" t="s">
        <v>1081</v>
      </c>
      <c r="AL38" s="0" t="s">
        <v>1082</v>
      </c>
      <c r="AM38" s="0" t="s">
        <v>1083</v>
      </c>
      <c r="AN38" s="0" t="s">
        <v>1058</v>
      </c>
      <c r="AO38" s="0" t="s">
        <v>1084</v>
      </c>
      <c r="AP38" s="0" t="s">
        <v>1085</v>
      </c>
    </row>
    <row r="39" customFormat="false" ht="12.75" hidden="false" customHeight="false" outlineLevel="0" collapsed="false">
      <c r="A39" s="1" t="s">
        <v>1086</v>
      </c>
      <c r="B39" s="0" t="s">
        <v>1087</v>
      </c>
      <c r="C39" s="0" t="s">
        <v>1088</v>
      </c>
      <c r="D39" s="0" t="s">
        <v>1089</v>
      </c>
      <c r="E39" s="0" t="s">
        <v>1090</v>
      </c>
      <c r="F39" s="0" t="s">
        <v>1091</v>
      </c>
      <c r="G39" s="0" t="s">
        <v>1086</v>
      </c>
      <c r="H39" s="2" t="s">
        <v>1092</v>
      </c>
      <c r="I39" s="2" t="s">
        <v>1093</v>
      </c>
      <c r="J39" s="0" t="s">
        <v>1094</v>
      </c>
      <c r="K39" s="0" t="s">
        <v>1095</v>
      </c>
      <c r="L39" s="0" t="s">
        <v>1096</v>
      </c>
      <c r="M39" s="0" t="s">
        <v>1097</v>
      </c>
      <c r="N39" s="0" t="s">
        <v>1098</v>
      </c>
      <c r="O39" s="0" t="s">
        <v>1099</v>
      </c>
      <c r="P39" s="0" t="s">
        <v>1100</v>
      </c>
      <c r="Q39" s="0" t="s">
        <v>1101</v>
      </c>
      <c r="R39" s="0" t="s">
        <v>1102</v>
      </c>
      <c r="S39" s="0" t="s">
        <v>1103</v>
      </c>
      <c r="T39" s="0" t="s">
        <v>1104</v>
      </c>
      <c r="U39" s="0" t="s">
        <v>1105</v>
      </c>
      <c r="V39" s="0" t="s">
        <v>1086</v>
      </c>
      <c r="W39" s="2" t="s">
        <v>1106</v>
      </c>
      <c r="X39" s="0" t="s">
        <v>1094</v>
      </c>
      <c r="Y39" s="0" t="s">
        <v>1107</v>
      </c>
      <c r="Z39" s="0" t="s">
        <v>1108</v>
      </c>
      <c r="AA39" s="0" t="s">
        <v>1086</v>
      </c>
      <c r="AB39" s="0" t="s">
        <v>1109</v>
      </c>
      <c r="AC39" s="0" t="s">
        <v>1110</v>
      </c>
      <c r="AD39" s="0" t="s">
        <v>1111</v>
      </c>
      <c r="AE39" s="0" t="s">
        <v>1112</v>
      </c>
      <c r="AF39" s="0" t="s">
        <v>1113</v>
      </c>
      <c r="AG39" s="0" t="s">
        <v>1114</v>
      </c>
      <c r="AH39" s="0" t="s">
        <v>1095</v>
      </c>
      <c r="AI39" s="0" t="s">
        <v>1115</v>
      </c>
      <c r="AJ39" s="0" t="s">
        <v>1104</v>
      </c>
      <c r="AK39" s="0" t="s">
        <v>1116</v>
      </c>
      <c r="AL39" s="0" t="s">
        <v>1117</v>
      </c>
      <c r="AM39" s="0" t="s">
        <v>1118</v>
      </c>
      <c r="AN39" s="0" t="s">
        <v>1086</v>
      </c>
      <c r="AO39" s="0" t="s">
        <v>1119</v>
      </c>
      <c r="AP39" s="0" t="s">
        <v>1120</v>
      </c>
    </row>
    <row r="40" customFormat="false" ht="12.75" hidden="false" customHeight="false" outlineLevel="0" collapsed="false">
      <c r="A40" s="0" t="s">
        <v>1121</v>
      </c>
      <c r="B40" s="0" t="s">
        <v>1122</v>
      </c>
      <c r="C40" s="0" t="s">
        <v>1123</v>
      </c>
      <c r="D40" s="0" t="s">
        <v>1124</v>
      </c>
      <c r="E40" s="0" t="s">
        <v>1125</v>
      </c>
      <c r="F40" s="0" t="s">
        <v>1126</v>
      </c>
      <c r="G40" s="0" t="s">
        <v>1127</v>
      </c>
      <c r="H40" s="2" t="s">
        <v>1128</v>
      </c>
      <c r="I40" s="2" t="s">
        <v>1128</v>
      </c>
      <c r="J40" s="0" t="s">
        <v>1129</v>
      </c>
      <c r="K40" s="0" t="s">
        <v>1130</v>
      </c>
      <c r="L40" s="0" t="s">
        <v>1131</v>
      </c>
      <c r="M40" s="0" t="s">
        <v>1132</v>
      </c>
      <c r="N40" s="0" t="s">
        <v>1133</v>
      </c>
      <c r="O40" s="0" t="s">
        <v>1134</v>
      </c>
      <c r="P40" s="0" t="s">
        <v>1131</v>
      </c>
      <c r="Q40" s="0" t="s">
        <v>1135</v>
      </c>
      <c r="R40" s="0" t="s">
        <v>1136</v>
      </c>
      <c r="S40" s="0" t="s">
        <v>1137</v>
      </c>
      <c r="T40" s="0" t="s">
        <v>1138</v>
      </c>
      <c r="U40" s="0" t="s">
        <v>1139</v>
      </c>
      <c r="V40" s="0" t="s">
        <v>1140</v>
      </c>
      <c r="W40" s="2" t="s">
        <v>1141</v>
      </c>
      <c r="X40" s="0" t="s">
        <v>1142</v>
      </c>
      <c r="Y40" s="0" t="s">
        <v>1143</v>
      </c>
      <c r="Z40" s="0" t="s">
        <v>1144</v>
      </c>
      <c r="AA40" s="0" t="s">
        <v>1145</v>
      </c>
      <c r="AB40" s="0" t="s">
        <v>1146</v>
      </c>
      <c r="AC40" s="0" t="s">
        <v>1147</v>
      </c>
      <c r="AD40" s="0" t="s">
        <v>1148</v>
      </c>
      <c r="AE40" s="0" t="s">
        <v>1145</v>
      </c>
      <c r="AF40" s="0" t="s">
        <v>1126</v>
      </c>
      <c r="AG40" s="0" t="s">
        <v>1143</v>
      </c>
      <c r="AH40" s="0" t="s">
        <v>1149</v>
      </c>
      <c r="AI40" s="0" t="s">
        <v>1150</v>
      </c>
      <c r="AJ40" s="0" t="s">
        <v>1151</v>
      </c>
      <c r="AK40" s="0" t="s">
        <v>1131</v>
      </c>
      <c r="AL40" s="0" t="s">
        <v>1152</v>
      </c>
      <c r="AM40" s="0" t="s">
        <v>1153</v>
      </c>
      <c r="AN40" s="0" t="s">
        <v>1154</v>
      </c>
      <c r="AO40" s="0" t="s">
        <v>1155</v>
      </c>
      <c r="AP40" s="0" t="s">
        <v>1156</v>
      </c>
    </row>
    <row r="41" customFormat="false" ht="12.75" hidden="false" customHeight="false" outlineLevel="0" collapsed="false">
      <c r="A41" s="0" t="s">
        <v>1157</v>
      </c>
      <c r="B41" s="0" t="s">
        <v>1158</v>
      </c>
      <c r="C41" s="0" t="s">
        <v>1159</v>
      </c>
      <c r="D41" s="0" t="s">
        <v>1160</v>
      </c>
      <c r="E41" s="0" t="s">
        <v>1161</v>
      </c>
      <c r="F41" s="0" t="s">
        <v>1162</v>
      </c>
      <c r="G41" s="0" t="s">
        <v>1163</v>
      </c>
      <c r="H41" s="2" t="s">
        <v>1164</v>
      </c>
      <c r="I41" s="2" t="s">
        <v>1164</v>
      </c>
      <c r="J41" s="0" t="s">
        <v>1165</v>
      </c>
      <c r="K41" s="0" t="s">
        <v>1166</v>
      </c>
      <c r="L41" s="0" t="s">
        <v>1167</v>
      </c>
      <c r="M41" s="0" t="s">
        <v>1168</v>
      </c>
      <c r="N41" s="0" t="s">
        <v>1169</v>
      </c>
      <c r="O41" s="0" t="s">
        <v>1170</v>
      </c>
      <c r="P41" s="0" t="s">
        <v>1167</v>
      </c>
      <c r="Q41" s="0" t="s">
        <v>1171</v>
      </c>
      <c r="R41" s="0" t="s">
        <v>1172</v>
      </c>
      <c r="S41" s="0" t="s">
        <v>1173</v>
      </c>
      <c r="T41" s="0" t="s">
        <v>1174</v>
      </c>
      <c r="U41" s="0" t="s">
        <v>1157</v>
      </c>
      <c r="V41" s="0" t="s">
        <v>1174</v>
      </c>
      <c r="W41" s="2" t="s">
        <v>1175</v>
      </c>
      <c r="X41" s="0" t="s">
        <v>1165</v>
      </c>
      <c r="Y41" s="0" t="s">
        <v>1176</v>
      </c>
      <c r="Z41" s="0" t="s">
        <v>1177</v>
      </c>
      <c r="AA41" s="0" t="s">
        <v>1174</v>
      </c>
      <c r="AB41" s="0" t="s">
        <v>1178</v>
      </c>
      <c r="AC41" s="0" t="s">
        <v>1179</v>
      </c>
      <c r="AD41" s="0" t="s">
        <v>1180</v>
      </c>
      <c r="AE41" s="0" t="s">
        <v>1174</v>
      </c>
      <c r="AF41" s="0" t="s">
        <v>1162</v>
      </c>
      <c r="AG41" s="0" t="s">
        <v>1176</v>
      </c>
      <c r="AH41" s="0" t="s">
        <v>1181</v>
      </c>
      <c r="AI41" s="0" t="s">
        <v>1165</v>
      </c>
      <c r="AJ41" s="0" t="s">
        <v>1174</v>
      </c>
      <c r="AK41" s="0" t="s">
        <v>1167</v>
      </c>
      <c r="AL41" s="0" t="s">
        <v>1182</v>
      </c>
      <c r="AM41" s="0" t="s">
        <v>1183</v>
      </c>
      <c r="AN41" s="0" t="s">
        <v>1184</v>
      </c>
      <c r="AO41" s="0" t="s">
        <v>1185</v>
      </c>
      <c r="AP41" s="0" t="s">
        <v>1186</v>
      </c>
    </row>
    <row r="42" customFormat="false" ht="12.75" hidden="false" customHeight="false" outlineLevel="0" collapsed="false">
      <c r="A42" s="0" t="s">
        <v>1187</v>
      </c>
      <c r="B42" s="0" t="s">
        <v>1188</v>
      </c>
      <c r="C42" s="0" t="s">
        <v>1189</v>
      </c>
      <c r="D42" s="0" t="s">
        <v>1190</v>
      </c>
      <c r="E42" s="0" t="s">
        <v>1191</v>
      </c>
      <c r="F42" s="0" t="s">
        <v>1192</v>
      </c>
      <c r="G42" s="0" t="s">
        <v>1187</v>
      </c>
      <c r="H42" s="2" t="s">
        <v>1193</v>
      </c>
      <c r="I42" s="2" t="s">
        <v>1193</v>
      </c>
      <c r="J42" s="0" t="s">
        <v>1194</v>
      </c>
      <c r="K42" s="0" t="s">
        <v>1195</v>
      </c>
      <c r="L42" s="0" t="s">
        <v>1187</v>
      </c>
      <c r="M42" s="0" t="s">
        <v>1187</v>
      </c>
      <c r="N42" s="0" t="s">
        <v>1187</v>
      </c>
      <c r="O42" s="0" t="s">
        <v>1196</v>
      </c>
      <c r="P42" s="0" t="s">
        <v>1187</v>
      </c>
      <c r="Q42" s="0" t="s">
        <v>1197</v>
      </c>
      <c r="R42" s="0" t="s">
        <v>1198</v>
      </c>
      <c r="S42" s="0" t="s">
        <v>1199</v>
      </c>
      <c r="T42" s="0" t="s">
        <v>1187</v>
      </c>
      <c r="U42" s="0" t="s">
        <v>1187</v>
      </c>
      <c r="V42" s="0" t="s">
        <v>1200</v>
      </c>
      <c r="W42" s="2" t="s">
        <v>1201</v>
      </c>
      <c r="X42" s="0" t="s">
        <v>1194</v>
      </c>
      <c r="Y42" s="0" t="s">
        <v>1202</v>
      </c>
      <c r="Z42" s="0" t="s">
        <v>1203</v>
      </c>
      <c r="AA42" s="0" t="s">
        <v>1187</v>
      </c>
      <c r="AB42" s="0" t="s">
        <v>1204</v>
      </c>
      <c r="AC42" s="0" t="s">
        <v>1205</v>
      </c>
      <c r="AD42" s="0" t="s">
        <v>1187</v>
      </c>
      <c r="AE42" s="0" t="s">
        <v>1205</v>
      </c>
      <c r="AF42" s="0" t="s">
        <v>1192</v>
      </c>
      <c r="AG42" s="0" t="s">
        <v>1202</v>
      </c>
      <c r="AH42" s="0" t="s">
        <v>1195</v>
      </c>
      <c r="AI42" s="0" t="s">
        <v>1206</v>
      </c>
      <c r="AJ42" s="0" t="s">
        <v>1187</v>
      </c>
      <c r="AK42" s="0" t="s">
        <v>1187</v>
      </c>
      <c r="AL42" s="0" t="s">
        <v>1207</v>
      </c>
      <c r="AM42" s="0" t="s">
        <v>1208</v>
      </c>
      <c r="AN42" s="0" t="s">
        <v>1209</v>
      </c>
      <c r="AO42" s="0" t="s">
        <v>1210</v>
      </c>
      <c r="AP42" s="0" t="s">
        <v>1211</v>
      </c>
    </row>
    <row r="43" customFormat="false" ht="12.75" hidden="false" customHeight="false" outlineLevel="0" collapsed="false">
      <c r="A43" s="1" t="s">
        <v>1212</v>
      </c>
      <c r="B43" s="0" t="s">
        <v>1213</v>
      </c>
      <c r="C43" s="0" t="s">
        <v>1214</v>
      </c>
      <c r="D43" s="0" t="s">
        <v>1215</v>
      </c>
      <c r="E43" s="0" t="s">
        <v>1216</v>
      </c>
      <c r="F43" s="0" t="s">
        <v>1217</v>
      </c>
      <c r="G43" s="0" t="s">
        <v>1218</v>
      </c>
      <c r="H43" s="2" t="s">
        <v>1219</v>
      </c>
      <c r="I43" s="2" t="s">
        <v>1219</v>
      </c>
      <c r="J43" s="0" t="s">
        <v>1220</v>
      </c>
      <c r="K43" s="0" t="s">
        <v>1221</v>
      </c>
      <c r="L43" s="0" t="s">
        <v>1222</v>
      </c>
      <c r="M43" s="0" t="s">
        <v>1223</v>
      </c>
      <c r="N43" s="0" t="s">
        <v>1224</v>
      </c>
      <c r="O43" s="0" t="s">
        <v>1225</v>
      </c>
      <c r="P43" s="0" t="s">
        <v>1222</v>
      </c>
      <c r="Q43" s="0" t="s">
        <v>1226</v>
      </c>
      <c r="R43" s="0" t="s">
        <v>1227</v>
      </c>
      <c r="S43" s="0" t="s">
        <v>1228</v>
      </c>
      <c r="T43" s="0" t="s">
        <v>1229</v>
      </c>
      <c r="U43" s="0" t="s">
        <v>1230</v>
      </c>
      <c r="V43" s="0" t="s">
        <v>1231</v>
      </c>
      <c r="W43" s="2" t="s">
        <v>1232</v>
      </c>
      <c r="X43" s="0" t="s">
        <v>1233</v>
      </c>
      <c r="Y43" s="0" t="s">
        <v>1234</v>
      </c>
      <c r="Z43" s="0" t="s">
        <v>1235</v>
      </c>
      <c r="AA43" s="0" t="s">
        <v>1222</v>
      </c>
      <c r="AB43" s="0" t="s">
        <v>1236</v>
      </c>
      <c r="AC43" s="0" t="s">
        <v>1237</v>
      </c>
      <c r="AD43" s="0" t="s">
        <v>1238</v>
      </c>
      <c r="AE43" s="0" t="s">
        <v>1239</v>
      </c>
      <c r="AF43" s="0" t="s">
        <v>1240</v>
      </c>
      <c r="AG43" s="0" t="s">
        <v>1241</v>
      </c>
      <c r="AH43" s="0" t="s">
        <v>1242</v>
      </c>
      <c r="AI43" s="0" t="s">
        <v>1243</v>
      </c>
      <c r="AJ43" s="0" t="s">
        <v>1244</v>
      </c>
      <c r="AK43" s="0" t="s">
        <v>1245</v>
      </c>
      <c r="AL43" s="0" t="s">
        <v>1246</v>
      </c>
      <c r="AM43" s="0" t="s">
        <v>1247</v>
      </c>
      <c r="AN43" s="0" t="s">
        <v>1212</v>
      </c>
      <c r="AO43" s="0" t="s">
        <v>1248</v>
      </c>
      <c r="AP43" s="0" t="s">
        <v>1249</v>
      </c>
    </row>
    <row r="45" customFormat="false" ht="12.75" hidden="false" customHeight="false" outlineLevel="0" collapsed="false">
      <c r="A45" s="1" t="s">
        <v>1250</v>
      </c>
      <c r="B45" s="0" t="s">
        <v>1251</v>
      </c>
      <c r="C45" s="0" t="s">
        <v>1252</v>
      </c>
      <c r="D45" s="0" t="s">
        <v>1253</v>
      </c>
      <c r="E45" s="0" t="s">
        <v>1254</v>
      </c>
      <c r="F45" s="0" t="s">
        <v>1255</v>
      </c>
      <c r="G45" s="0" t="s">
        <v>1256</v>
      </c>
      <c r="H45" s="2" t="s">
        <v>1257</v>
      </c>
      <c r="I45" s="2" t="s">
        <v>1258</v>
      </c>
      <c r="J45" s="0" t="s">
        <v>1259</v>
      </c>
      <c r="K45" s="0" t="s">
        <v>1259</v>
      </c>
      <c r="L45" s="0" t="s">
        <v>1250</v>
      </c>
      <c r="M45" s="0" t="s">
        <v>1260</v>
      </c>
      <c r="N45" s="0" t="s">
        <v>1250</v>
      </c>
      <c r="O45" s="0" t="s">
        <v>1261</v>
      </c>
      <c r="P45" s="0" t="s">
        <v>1250</v>
      </c>
      <c r="Q45" s="0" t="s">
        <v>1262</v>
      </c>
      <c r="R45" s="0" t="s">
        <v>1263</v>
      </c>
      <c r="S45" s="0" t="s">
        <v>1264</v>
      </c>
      <c r="T45" s="0" t="s">
        <v>1265</v>
      </c>
      <c r="U45" s="0" t="s">
        <v>1266</v>
      </c>
      <c r="V45" s="0" t="s">
        <v>1267</v>
      </c>
      <c r="W45" s="2" t="s">
        <v>1268</v>
      </c>
      <c r="X45" s="0" t="s">
        <v>1265</v>
      </c>
      <c r="Y45" s="0" t="s">
        <v>1269</v>
      </c>
      <c r="Z45" s="0" t="s">
        <v>1265</v>
      </c>
      <c r="AA45" s="0" t="s">
        <v>1265</v>
      </c>
      <c r="AB45" s="0" t="s">
        <v>1270</v>
      </c>
      <c r="AC45" s="0" t="s">
        <v>1265</v>
      </c>
      <c r="AD45" s="0" t="s">
        <v>1271</v>
      </c>
      <c r="AE45" s="0" t="s">
        <v>1267</v>
      </c>
      <c r="AF45" s="0" t="s">
        <v>1269</v>
      </c>
      <c r="AG45" s="0" t="s">
        <v>1272</v>
      </c>
      <c r="AH45" s="0" t="s">
        <v>1259</v>
      </c>
      <c r="AI45" s="0" t="s">
        <v>1259</v>
      </c>
      <c r="AJ45" s="0" t="s">
        <v>1273</v>
      </c>
      <c r="AK45" s="0" t="s">
        <v>1265</v>
      </c>
      <c r="AL45" s="0" t="s">
        <v>1274</v>
      </c>
      <c r="AM45" s="0" t="s">
        <v>1254</v>
      </c>
      <c r="AN45" s="0" t="s">
        <v>1265</v>
      </c>
      <c r="AO45" s="0" t="s">
        <v>1275</v>
      </c>
      <c r="AP45" s="0" t="s">
        <v>1276</v>
      </c>
    </row>
    <row r="46" customFormat="false" ht="12.75" hidden="false" customHeight="false" outlineLevel="0" collapsed="false">
      <c r="A46" s="1" t="s">
        <v>1277</v>
      </c>
      <c r="B46" s="0" t="s">
        <v>1278</v>
      </c>
      <c r="C46" s="0" t="s">
        <v>1279</v>
      </c>
      <c r="D46" s="0" t="s">
        <v>1277</v>
      </c>
      <c r="E46" s="0" t="s">
        <v>1277</v>
      </c>
      <c r="F46" s="0" t="s">
        <v>1280</v>
      </c>
      <c r="G46" s="0" t="s">
        <v>1281</v>
      </c>
      <c r="H46" s="2" t="s">
        <v>1282</v>
      </c>
      <c r="I46" s="2" t="s">
        <v>1283</v>
      </c>
      <c r="J46" s="0" t="s">
        <v>1284</v>
      </c>
      <c r="K46" s="0" t="s">
        <v>1277</v>
      </c>
      <c r="L46" s="1" t="s">
        <v>1285</v>
      </c>
      <c r="M46" s="0" t="s">
        <v>1286</v>
      </c>
      <c r="N46" s="0" t="s">
        <v>1280</v>
      </c>
      <c r="O46" s="0" t="s">
        <v>1287</v>
      </c>
      <c r="P46" s="1" t="s">
        <v>1288</v>
      </c>
      <c r="Q46" s="0" t="s">
        <v>1277</v>
      </c>
      <c r="R46" s="0" t="s">
        <v>1289</v>
      </c>
      <c r="S46" s="0" t="s">
        <v>1290</v>
      </c>
      <c r="T46" s="0" t="s">
        <v>1291</v>
      </c>
      <c r="U46" s="0" t="s">
        <v>1292</v>
      </c>
      <c r="V46" s="0" t="s">
        <v>1293</v>
      </c>
      <c r="W46" s="2" t="s">
        <v>1294</v>
      </c>
      <c r="X46" s="0" t="s">
        <v>1295</v>
      </c>
      <c r="Y46" s="0" t="s">
        <v>1296</v>
      </c>
      <c r="Z46" s="0" t="s">
        <v>1295</v>
      </c>
      <c r="AA46" s="1" t="s">
        <v>1285</v>
      </c>
      <c r="AB46" s="0" t="s">
        <v>1297</v>
      </c>
      <c r="AC46" s="0" t="s">
        <v>1277</v>
      </c>
      <c r="AD46" s="1" t="s">
        <v>1281</v>
      </c>
      <c r="AE46" s="0" t="s">
        <v>1277</v>
      </c>
      <c r="AF46" s="0" t="s">
        <v>1280</v>
      </c>
      <c r="AG46" s="0" t="s">
        <v>1298</v>
      </c>
      <c r="AH46" s="0" t="s">
        <v>1299</v>
      </c>
      <c r="AI46" s="0" t="s">
        <v>1277</v>
      </c>
      <c r="AJ46" s="0" t="s">
        <v>1300</v>
      </c>
      <c r="AK46" s="0" t="s">
        <v>1277</v>
      </c>
      <c r="AL46" s="0" t="s">
        <v>1301</v>
      </c>
      <c r="AM46" s="0" t="s">
        <v>1302</v>
      </c>
      <c r="AN46" s="0" t="s">
        <v>1277</v>
      </c>
      <c r="AO46" s="0" t="s">
        <v>1303</v>
      </c>
      <c r="AP46" s="0" t="s">
        <v>1304</v>
      </c>
    </row>
    <row r="50" customFormat="false" ht="12.75" hidden="false" customHeight="false" outlineLevel="0" collapsed="false">
      <c r="A50" s="1"/>
    </row>
    <row r="51" customFormat="false" ht="12.75" hidden="false" customHeight="false" outlineLevel="0" collapsed="false">
      <c r="A51" s="1" t="s">
        <v>1305</v>
      </c>
      <c r="B51" s="0" t="s">
        <v>1305</v>
      </c>
      <c r="C51" s="0" t="s">
        <v>1306</v>
      </c>
      <c r="D51" s="0" t="s">
        <v>1307</v>
      </c>
      <c r="E51" s="0" t="s">
        <v>1308</v>
      </c>
      <c r="F51" s="0" t="s">
        <v>1309</v>
      </c>
      <c r="G51" s="0" t="s">
        <v>1310</v>
      </c>
      <c r="H51" s="2" t="s">
        <v>1311</v>
      </c>
      <c r="I51" s="2" t="s">
        <v>1311</v>
      </c>
      <c r="J51" s="0" t="s">
        <v>1312</v>
      </c>
      <c r="K51" s="0" t="s">
        <v>1313</v>
      </c>
      <c r="L51" s="0" t="s">
        <v>1314</v>
      </c>
      <c r="M51" s="0" t="s">
        <v>1315</v>
      </c>
      <c r="N51" s="0" t="s">
        <v>1316</v>
      </c>
      <c r="O51" s="0" t="s">
        <v>1317</v>
      </c>
      <c r="P51" s="0" t="s">
        <v>1318</v>
      </c>
      <c r="Q51" s="0" t="s">
        <v>1319</v>
      </c>
      <c r="R51" s="0" t="s">
        <v>1320</v>
      </c>
      <c r="S51" s="0" t="s">
        <v>1321</v>
      </c>
      <c r="T51" s="0" t="s">
        <v>1305</v>
      </c>
      <c r="U51" s="0" t="s">
        <v>1305</v>
      </c>
      <c r="V51" s="0" t="s">
        <v>1322</v>
      </c>
      <c r="W51" s="2" t="s">
        <v>1323</v>
      </c>
      <c r="X51" s="0" t="s">
        <v>1324</v>
      </c>
      <c r="Y51" s="0" t="s">
        <v>1325</v>
      </c>
      <c r="Z51" s="0" t="s">
        <v>1326</v>
      </c>
      <c r="AA51" s="0" t="s">
        <v>1305</v>
      </c>
      <c r="AB51" s="0" t="s">
        <v>1327</v>
      </c>
      <c r="AC51" s="0" t="s">
        <v>1328</v>
      </c>
      <c r="AD51" s="0" t="s">
        <v>1329</v>
      </c>
      <c r="AE51" s="0" t="s">
        <v>1330</v>
      </c>
      <c r="AF51" s="0" t="s">
        <v>1309</v>
      </c>
      <c r="AG51" s="0" t="s">
        <v>1325</v>
      </c>
      <c r="AH51" s="0" t="s">
        <v>1313</v>
      </c>
      <c r="AI51" s="0" t="s">
        <v>1331</v>
      </c>
      <c r="AJ51" s="0" t="s">
        <v>1332</v>
      </c>
      <c r="AK51" s="0" t="s">
        <v>1333</v>
      </c>
      <c r="AL51" s="0" t="s">
        <v>1334</v>
      </c>
      <c r="AM51" s="0" t="s">
        <v>1335</v>
      </c>
      <c r="AN51" s="0" t="s">
        <v>1305</v>
      </c>
      <c r="AO51" s="0" t="s">
        <v>1336</v>
      </c>
      <c r="AP51" s="0" t="s">
        <v>1337</v>
      </c>
    </row>
    <row r="52" customFormat="false" ht="12.75" hidden="false" customHeight="false" outlineLevel="0" collapsed="false">
      <c r="A52" s="0" t="s">
        <v>1338</v>
      </c>
      <c r="B52" s="0" t="s">
        <v>1339</v>
      </c>
      <c r="C52" s="0" t="s">
        <v>1340</v>
      </c>
      <c r="D52" s="0" t="s">
        <v>1341</v>
      </c>
      <c r="E52" s="0" t="s">
        <v>1342</v>
      </c>
      <c r="F52" s="0" t="s">
        <v>1343</v>
      </c>
      <c r="G52" s="0" t="s">
        <v>1344</v>
      </c>
      <c r="H52" s="2" t="s">
        <v>1345</v>
      </c>
      <c r="I52" s="2" t="s">
        <v>1346</v>
      </c>
      <c r="J52" s="0" t="s">
        <v>1347</v>
      </c>
      <c r="K52" s="0" t="s">
        <v>1348</v>
      </c>
      <c r="L52" s="0" t="s">
        <v>1349</v>
      </c>
      <c r="M52" s="0" t="s">
        <v>1350</v>
      </c>
      <c r="N52" s="0" t="s">
        <v>1351</v>
      </c>
      <c r="O52" s="0" t="s">
        <v>1338</v>
      </c>
      <c r="P52" s="0" t="s">
        <v>1352</v>
      </c>
      <c r="Q52" s="0" t="s">
        <v>1353</v>
      </c>
      <c r="R52" s="0" t="s">
        <v>1354</v>
      </c>
      <c r="S52" s="0" t="s">
        <v>1355</v>
      </c>
      <c r="T52" s="0" t="s">
        <v>1356</v>
      </c>
      <c r="U52" s="0" t="s">
        <v>1357</v>
      </c>
      <c r="V52" s="0" t="s">
        <v>1358</v>
      </c>
      <c r="W52" s="2" t="s">
        <v>1359</v>
      </c>
      <c r="X52" s="0" t="s">
        <v>1360</v>
      </c>
      <c r="Y52" s="0" t="s">
        <v>1361</v>
      </c>
      <c r="Z52" s="0" t="s">
        <v>1362</v>
      </c>
      <c r="AA52" s="0" t="s">
        <v>1349</v>
      </c>
      <c r="AB52" s="0" t="s">
        <v>1363</v>
      </c>
      <c r="AC52" s="0" t="s">
        <v>1364</v>
      </c>
      <c r="AD52" s="0" t="s">
        <v>1365</v>
      </c>
      <c r="AE52" s="0" t="s">
        <v>1358</v>
      </c>
      <c r="AF52" s="0" t="s">
        <v>1343</v>
      </c>
      <c r="AG52" s="0" t="s">
        <v>1366</v>
      </c>
      <c r="AH52" s="0" t="s">
        <v>1367</v>
      </c>
      <c r="AI52" s="0" t="s">
        <v>1368</v>
      </c>
      <c r="AJ52" s="0" t="s">
        <v>1369</v>
      </c>
      <c r="AK52" s="0" t="s">
        <v>1349</v>
      </c>
      <c r="AL52" s="0" t="s">
        <v>1370</v>
      </c>
      <c r="AM52" s="0" t="s">
        <v>1371</v>
      </c>
      <c r="AN52" s="0" t="s">
        <v>1372</v>
      </c>
      <c r="AO52" s="0" t="s">
        <v>1373</v>
      </c>
      <c r="AP52" s="0" t="s">
        <v>1374</v>
      </c>
    </row>
    <row r="54" customFormat="false" ht="12.75" hidden="false" customHeight="false" outlineLevel="0" collapsed="false">
      <c r="A54" s="1" t="s">
        <v>1375</v>
      </c>
      <c r="B54" s="0" t="s">
        <v>1376</v>
      </c>
      <c r="C54" s="0" t="s">
        <v>1377</v>
      </c>
      <c r="D54" s="0" t="s">
        <v>1375</v>
      </c>
      <c r="E54" s="0" t="s">
        <v>1375</v>
      </c>
      <c r="F54" s="0" t="s">
        <v>1378</v>
      </c>
      <c r="G54" s="0" t="s">
        <v>1379</v>
      </c>
      <c r="H54" s="2" t="s">
        <v>1380</v>
      </c>
      <c r="I54" s="2" t="s">
        <v>1381</v>
      </c>
      <c r="J54" s="0" t="s">
        <v>1382</v>
      </c>
      <c r="K54" s="0" t="s">
        <v>1375</v>
      </c>
      <c r="L54" s="0" t="s">
        <v>1375</v>
      </c>
      <c r="M54" s="0" t="s">
        <v>1375</v>
      </c>
      <c r="N54" s="0" t="s">
        <v>1383</v>
      </c>
      <c r="O54" s="0" t="s">
        <v>1384</v>
      </c>
      <c r="P54" s="0" t="s">
        <v>1375</v>
      </c>
      <c r="Q54" s="0" t="s">
        <v>1385</v>
      </c>
      <c r="R54" s="0" t="s">
        <v>1386</v>
      </c>
      <c r="S54" s="0" t="s">
        <v>1375</v>
      </c>
      <c r="T54" s="0" t="s">
        <v>1375</v>
      </c>
      <c r="U54" s="0" t="s">
        <v>1375</v>
      </c>
      <c r="V54" s="0" t="s">
        <v>1387</v>
      </c>
      <c r="W54" s="2" t="s">
        <v>1388</v>
      </c>
      <c r="X54" s="0" t="s">
        <v>1389</v>
      </c>
      <c r="Y54" s="0" t="s">
        <v>1390</v>
      </c>
      <c r="Z54" s="0" t="s">
        <v>1391</v>
      </c>
      <c r="AA54" s="0" t="s">
        <v>1375</v>
      </c>
      <c r="AB54" s="0" t="s">
        <v>1392</v>
      </c>
      <c r="AC54" s="0" t="s">
        <v>1393</v>
      </c>
      <c r="AD54" s="0" t="s">
        <v>1394</v>
      </c>
      <c r="AE54" s="0" t="s">
        <v>1395</v>
      </c>
      <c r="AF54" s="0" t="s">
        <v>1396</v>
      </c>
      <c r="AG54" s="0" t="s">
        <v>1390</v>
      </c>
      <c r="AH54" s="0" t="s">
        <v>1375</v>
      </c>
      <c r="AI54" s="0" t="s">
        <v>1375</v>
      </c>
      <c r="AJ54" s="0" t="s">
        <v>1397</v>
      </c>
      <c r="AK54" s="0" t="s">
        <v>1391</v>
      </c>
      <c r="AL54" s="0" t="s">
        <v>1398</v>
      </c>
      <c r="AM54" s="0" t="s">
        <v>1399</v>
      </c>
      <c r="AN54" s="0" t="s">
        <v>1400</v>
      </c>
      <c r="AO54" s="0" t="s">
        <v>1401</v>
      </c>
      <c r="AP54" s="0" t="s">
        <v>1402</v>
      </c>
    </row>
    <row r="55" customFormat="false" ht="12.75" hidden="false" customHeight="false" outlineLevel="0" collapsed="false">
      <c r="A55" s="0" t="s">
        <v>1403</v>
      </c>
      <c r="B55" s="0" t="s">
        <v>1404</v>
      </c>
      <c r="C55" s="0" t="s">
        <v>1405</v>
      </c>
      <c r="D55" s="0" t="s">
        <v>1406</v>
      </c>
      <c r="E55" s="0" t="s">
        <v>1407</v>
      </c>
      <c r="F55" s="0" t="s">
        <v>1408</v>
      </c>
      <c r="G55" s="0" t="s">
        <v>1409</v>
      </c>
      <c r="H55" s="2" t="s">
        <v>1410</v>
      </c>
      <c r="I55" s="2" t="s">
        <v>1411</v>
      </c>
      <c r="J55" s="0" t="s">
        <v>1412</v>
      </c>
      <c r="K55" s="0" t="s">
        <v>1413</v>
      </c>
      <c r="L55" s="0" t="s">
        <v>1414</v>
      </c>
      <c r="M55" s="0" t="s">
        <v>1415</v>
      </c>
      <c r="N55" s="0" t="s">
        <v>1416</v>
      </c>
      <c r="O55" s="0" t="s">
        <v>1417</v>
      </c>
      <c r="P55" s="0" t="s">
        <v>1414</v>
      </c>
      <c r="Q55" s="0" t="s">
        <v>1418</v>
      </c>
      <c r="R55" s="0" t="s">
        <v>1419</v>
      </c>
      <c r="S55" s="0" t="s">
        <v>1420</v>
      </c>
      <c r="T55" s="0" t="s">
        <v>1421</v>
      </c>
      <c r="U55" s="0" t="s">
        <v>1403</v>
      </c>
      <c r="V55" s="0" t="s">
        <v>1422</v>
      </c>
      <c r="W55" s="2" t="s">
        <v>1423</v>
      </c>
      <c r="X55" s="0" t="s">
        <v>1424</v>
      </c>
      <c r="Y55" s="0" t="s">
        <v>1425</v>
      </c>
      <c r="Z55" s="0" t="s">
        <v>1426</v>
      </c>
      <c r="AA55" s="0" t="s">
        <v>1427</v>
      </c>
      <c r="AB55" s="0" t="s">
        <v>1428</v>
      </c>
      <c r="AC55" s="0" t="s">
        <v>1429</v>
      </c>
      <c r="AD55" s="0" t="s">
        <v>1430</v>
      </c>
      <c r="AE55" s="0" t="s">
        <v>1431</v>
      </c>
      <c r="AF55" s="0" t="s">
        <v>1432</v>
      </c>
      <c r="AG55" s="0" t="s">
        <v>1433</v>
      </c>
      <c r="AH55" s="0" t="s">
        <v>1434</v>
      </c>
      <c r="AI55" s="0" t="s">
        <v>1435</v>
      </c>
      <c r="AJ55" s="0" t="s">
        <v>1436</v>
      </c>
      <c r="AK55" s="0" t="s">
        <v>1414</v>
      </c>
      <c r="AL55" s="0" t="s">
        <v>1437</v>
      </c>
      <c r="AM55" s="0" t="s">
        <v>1438</v>
      </c>
      <c r="AN55" s="0" t="s">
        <v>1403</v>
      </c>
      <c r="AO55" s="0" t="s">
        <v>1439</v>
      </c>
      <c r="AP55" s="0" t="s">
        <v>1440</v>
      </c>
    </row>
    <row r="56" customFormat="false" ht="12.75" hidden="false" customHeight="false" outlineLevel="0" collapsed="false">
      <c r="A56" s="1" t="s">
        <v>1441</v>
      </c>
      <c r="B56" s="0" t="s">
        <v>1442</v>
      </c>
      <c r="C56" s="0" t="s">
        <v>1443</v>
      </c>
      <c r="D56" s="0" t="s">
        <v>1444</v>
      </c>
      <c r="E56" s="0" t="s">
        <v>1445</v>
      </c>
      <c r="F56" s="0" t="s">
        <v>1446</v>
      </c>
      <c r="G56" s="0" t="s">
        <v>1447</v>
      </c>
      <c r="H56" s="2" t="s">
        <v>1448</v>
      </c>
      <c r="I56" s="2" t="s">
        <v>1449</v>
      </c>
      <c r="J56" s="0" t="s">
        <v>1450</v>
      </c>
      <c r="K56" s="0" t="s">
        <v>1451</v>
      </c>
      <c r="L56" s="0" t="s">
        <v>1452</v>
      </c>
      <c r="M56" s="0" t="s">
        <v>1453</v>
      </c>
      <c r="N56" s="0" t="s">
        <v>1454</v>
      </c>
      <c r="O56" s="0" t="s">
        <v>1455</v>
      </c>
      <c r="P56" s="0" t="s">
        <v>1452</v>
      </c>
      <c r="Q56" s="0" t="s">
        <v>1456</v>
      </c>
      <c r="R56" s="0" t="s">
        <v>1457</v>
      </c>
      <c r="S56" s="0" t="s">
        <v>1458</v>
      </c>
      <c r="T56" s="0" t="s">
        <v>1459</v>
      </c>
      <c r="U56" s="0" t="s">
        <v>1460</v>
      </c>
      <c r="V56" s="0" t="s">
        <v>1461</v>
      </c>
      <c r="W56" s="2" t="s">
        <v>1462</v>
      </c>
      <c r="X56" s="0" t="s">
        <v>1463</v>
      </c>
      <c r="Y56" s="0" t="s">
        <v>1464</v>
      </c>
      <c r="Z56" s="0" t="s">
        <v>1465</v>
      </c>
      <c r="AA56" s="0" t="s">
        <v>1466</v>
      </c>
      <c r="AB56" s="0" t="s">
        <v>1467</v>
      </c>
      <c r="AC56" s="0" t="s">
        <v>1468</v>
      </c>
      <c r="AD56" s="0" t="s">
        <v>1469</v>
      </c>
      <c r="AE56" s="0" t="s">
        <v>1470</v>
      </c>
      <c r="AF56" s="0" t="s">
        <v>1471</v>
      </c>
      <c r="AG56" s="0" t="s">
        <v>1464</v>
      </c>
      <c r="AH56" s="0" t="s">
        <v>1472</v>
      </c>
      <c r="AI56" s="0" t="s">
        <v>1473</v>
      </c>
      <c r="AJ56" s="0" t="s">
        <v>1474</v>
      </c>
      <c r="AK56" s="0" t="s">
        <v>1475</v>
      </c>
      <c r="AL56" s="0" t="s">
        <v>1476</v>
      </c>
      <c r="AM56" s="0" t="s">
        <v>1477</v>
      </c>
      <c r="AN56" s="0" t="s">
        <v>1478</v>
      </c>
      <c r="AO56" s="0" t="s">
        <v>1479</v>
      </c>
      <c r="AP56" s="0" t="s">
        <v>1480</v>
      </c>
    </row>
    <row r="57" customFormat="false" ht="12.75" hidden="false" customHeight="false" outlineLevel="0" collapsed="false">
      <c r="A57" s="0" t="s">
        <v>1481</v>
      </c>
      <c r="B57" s="0" t="s">
        <v>1482</v>
      </c>
      <c r="C57" s="0" t="s">
        <v>1483</v>
      </c>
      <c r="D57" s="0" t="s">
        <v>1484</v>
      </c>
      <c r="E57" s="0" t="s">
        <v>1485</v>
      </c>
      <c r="F57" s="0" t="s">
        <v>1486</v>
      </c>
      <c r="G57" s="0" t="s">
        <v>1487</v>
      </c>
      <c r="H57" s="2" t="s">
        <v>1488</v>
      </c>
      <c r="I57" s="2" t="s">
        <v>1488</v>
      </c>
      <c r="J57" s="0" t="s">
        <v>1489</v>
      </c>
      <c r="K57" s="0" t="s">
        <v>1490</v>
      </c>
      <c r="L57" s="0" t="s">
        <v>1491</v>
      </c>
      <c r="M57" s="0" t="s">
        <v>1492</v>
      </c>
      <c r="N57" s="0" t="s">
        <v>1493</v>
      </c>
      <c r="O57" s="0" t="s">
        <v>1481</v>
      </c>
      <c r="P57" s="0" t="s">
        <v>1491</v>
      </c>
      <c r="Q57" s="0" t="s">
        <v>1494</v>
      </c>
      <c r="R57" s="0" t="s">
        <v>1495</v>
      </c>
      <c r="S57" s="0" t="s">
        <v>1496</v>
      </c>
      <c r="T57" s="0" t="s">
        <v>1497</v>
      </c>
      <c r="U57" s="0" t="s">
        <v>1498</v>
      </c>
      <c r="V57" s="0" t="s">
        <v>1499</v>
      </c>
      <c r="W57" s="2" t="s">
        <v>1500</v>
      </c>
      <c r="X57" s="0" t="s">
        <v>1501</v>
      </c>
      <c r="Y57" s="0" t="s">
        <v>1502</v>
      </c>
      <c r="Z57" s="0" t="s">
        <v>1503</v>
      </c>
      <c r="AA57" s="0" t="s">
        <v>1504</v>
      </c>
      <c r="AB57" s="0" t="s">
        <v>1505</v>
      </c>
      <c r="AC57" s="0" t="s">
        <v>1506</v>
      </c>
      <c r="AD57" s="0" t="s">
        <v>1507</v>
      </c>
      <c r="AE57" s="0" t="s">
        <v>1508</v>
      </c>
      <c r="AF57" s="0" t="s">
        <v>1486</v>
      </c>
      <c r="AG57" s="0" t="s">
        <v>1509</v>
      </c>
      <c r="AH57" s="0" t="s">
        <v>1510</v>
      </c>
      <c r="AI57" s="0" t="s">
        <v>1511</v>
      </c>
      <c r="AJ57" s="0" t="s">
        <v>1512</v>
      </c>
      <c r="AK57" s="0" t="s">
        <v>1491</v>
      </c>
      <c r="AL57" s="0" t="s">
        <v>1513</v>
      </c>
      <c r="AM57" s="0" t="s">
        <v>1514</v>
      </c>
      <c r="AN57" s="0" t="s">
        <v>1515</v>
      </c>
      <c r="AO57" s="0" t="s">
        <v>1516</v>
      </c>
      <c r="AP57" s="0" t="s">
        <v>1517</v>
      </c>
    </row>
    <row r="58" customFormat="false" ht="12.75" hidden="false" customHeight="false" outlineLevel="0" collapsed="false">
      <c r="A58" s="1" t="s">
        <v>1518</v>
      </c>
      <c r="B58" s="0" t="s">
        <v>1519</v>
      </c>
      <c r="C58" s="0" t="s">
        <v>1520</v>
      </c>
      <c r="D58" s="0" t="s">
        <v>1521</v>
      </c>
      <c r="E58" s="0" t="s">
        <v>1522</v>
      </c>
      <c r="F58" s="0" t="s">
        <v>1523</v>
      </c>
      <c r="G58" s="0" t="s">
        <v>1524</v>
      </c>
      <c r="H58" s="2" t="s">
        <v>1525</v>
      </c>
      <c r="I58" s="2" t="s">
        <v>1526</v>
      </c>
      <c r="J58" s="0" t="s">
        <v>1527</v>
      </c>
      <c r="K58" s="0" t="s">
        <v>1528</v>
      </c>
      <c r="L58" s="0" t="s">
        <v>1529</v>
      </c>
      <c r="M58" s="0" t="s">
        <v>1530</v>
      </c>
      <c r="N58" s="0" t="s">
        <v>1531</v>
      </c>
      <c r="O58" s="0" t="s">
        <v>1532</v>
      </c>
      <c r="P58" s="0" t="s">
        <v>1533</v>
      </c>
      <c r="Q58" s="0" t="s">
        <v>1534</v>
      </c>
      <c r="R58" s="0" t="s">
        <v>1535</v>
      </c>
      <c r="S58" s="0" t="s">
        <v>1536</v>
      </c>
      <c r="T58" s="0" t="s">
        <v>1537</v>
      </c>
      <c r="U58" s="0" t="s">
        <v>1538</v>
      </c>
      <c r="V58" s="0" t="s">
        <v>1539</v>
      </c>
      <c r="W58" s="2" t="s">
        <v>1540</v>
      </c>
      <c r="X58" s="0" t="s">
        <v>1541</v>
      </c>
      <c r="Y58" s="0" t="s">
        <v>1542</v>
      </c>
      <c r="Z58" s="0" t="s">
        <v>1543</v>
      </c>
      <c r="AA58" s="0" t="s">
        <v>1544</v>
      </c>
      <c r="AB58" s="0" t="s">
        <v>1545</v>
      </c>
      <c r="AC58" s="0" t="s">
        <v>1546</v>
      </c>
      <c r="AD58" s="0" t="s">
        <v>1547</v>
      </c>
      <c r="AE58" s="0" t="s">
        <v>1548</v>
      </c>
      <c r="AF58" s="0" t="s">
        <v>1549</v>
      </c>
      <c r="AG58" s="0" t="s">
        <v>1550</v>
      </c>
      <c r="AH58" s="0" t="s">
        <v>1528</v>
      </c>
      <c r="AI58" s="0" t="s">
        <v>1551</v>
      </c>
      <c r="AJ58" s="0" t="s">
        <v>1547</v>
      </c>
      <c r="AK58" s="0" t="s">
        <v>1552</v>
      </c>
      <c r="AL58" s="0" t="s">
        <v>1553</v>
      </c>
      <c r="AM58" s="0" t="s">
        <v>1554</v>
      </c>
      <c r="AN58" s="0" t="s">
        <v>1555</v>
      </c>
      <c r="AO58" s="0" t="s">
        <v>1556</v>
      </c>
      <c r="AP58" s="0" t="s">
        <v>1557</v>
      </c>
    </row>
    <row r="59" customFormat="false" ht="12.75" hidden="false" customHeight="false" outlineLevel="0" collapsed="false">
      <c r="A59" s="1" t="s">
        <v>1558</v>
      </c>
      <c r="B59" s="0" t="s">
        <v>1559</v>
      </c>
      <c r="C59" s="0" t="s">
        <v>1560</v>
      </c>
      <c r="D59" s="0" t="s">
        <v>1561</v>
      </c>
      <c r="E59" s="0" t="s">
        <v>1562</v>
      </c>
      <c r="F59" s="0" t="s">
        <v>1563</v>
      </c>
      <c r="G59" s="0" t="s">
        <v>1564</v>
      </c>
      <c r="H59" s="2" t="s">
        <v>1565</v>
      </c>
      <c r="I59" s="2" t="s">
        <v>1566</v>
      </c>
      <c r="J59" s="0" t="s">
        <v>1567</v>
      </c>
      <c r="K59" s="0" t="s">
        <v>1568</v>
      </c>
      <c r="L59" s="0" t="s">
        <v>1569</v>
      </c>
      <c r="M59" s="0" t="s">
        <v>1570</v>
      </c>
      <c r="N59" s="0" t="s">
        <v>1571</v>
      </c>
      <c r="O59" s="0" t="s">
        <v>1572</v>
      </c>
      <c r="P59" s="0" t="s">
        <v>1573</v>
      </c>
      <c r="Q59" s="0" t="s">
        <v>1574</v>
      </c>
      <c r="R59" s="0" t="s">
        <v>1575</v>
      </c>
      <c r="S59" s="0" t="s">
        <v>1576</v>
      </c>
      <c r="T59" s="0" t="s">
        <v>1577</v>
      </c>
      <c r="U59" s="0" t="s">
        <v>1578</v>
      </c>
      <c r="V59" s="0" t="s">
        <v>1579</v>
      </c>
      <c r="W59" s="2" t="s">
        <v>1580</v>
      </c>
      <c r="X59" s="0" t="s">
        <v>1581</v>
      </c>
      <c r="Y59" s="0" t="s">
        <v>1582</v>
      </c>
      <c r="Z59" s="0" t="s">
        <v>1583</v>
      </c>
      <c r="AA59" s="0" t="s">
        <v>1584</v>
      </c>
      <c r="AB59" s="0" t="s">
        <v>1585</v>
      </c>
      <c r="AC59" s="0" t="s">
        <v>1586</v>
      </c>
      <c r="AD59" s="0" t="s">
        <v>1587</v>
      </c>
      <c r="AE59" s="0" t="s">
        <v>1588</v>
      </c>
      <c r="AF59" s="0" t="s">
        <v>1589</v>
      </c>
      <c r="AG59" s="0" t="s">
        <v>1582</v>
      </c>
      <c r="AH59" s="0" t="s">
        <v>1590</v>
      </c>
      <c r="AI59" s="0" t="s">
        <v>1567</v>
      </c>
      <c r="AJ59" s="0" t="s">
        <v>1591</v>
      </c>
      <c r="AK59" s="0" t="s">
        <v>1592</v>
      </c>
      <c r="AL59" s="0" t="s">
        <v>1593</v>
      </c>
      <c r="AM59" s="0" t="s">
        <v>1594</v>
      </c>
      <c r="AN59" s="0" t="s">
        <v>1595</v>
      </c>
      <c r="AO59" s="0" t="s">
        <v>1596</v>
      </c>
      <c r="AP59" s="0" t="s">
        <v>1597</v>
      </c>
    </row>
    <row r="60" customFormat="false" ht="12.75" hidden="false" customHeight="false" outlineLevel="0" collapsed="false">
      <c r="A60" s="1" t="s">
        <v>1598</v>
      </c>
      <c r="B60" s="0" t="s">
        <v>1599</v>
      </c>
      <c r="C60" s="0" t="s">
        <v>1600</v>
      </c>
      <c r="D60" s="0" t="s">
        <v>1601</v>
      </c>
      <c r="E60" s="0" t="s">
        <v>1602</v>
      </c>
      <c r="F60" s="0" t="s">
        <v>1603</v>
      </c>
      <c r="G60" s="0" t="s">
        <v>1604</v>
      </c>
      <c r="H60" s="2" t="s">
        <v>1605</v>
      </c>
      <c r="I60" s="2" t="s">
        <v>1606</v>
      </c>
      <c r="J60" s="0" t="s">
        <v>1607</v>
      </c>
      <c r="K60" s="0" t="s">
        <v>1607</v>
      </c>
      <c r="L60" s="0" t="s">
        <v>1607</v>
      </c>
      <c r="M60" s="0" t="s">
        <v>1608</v>
      </c>
      <c r="N60" s="0" t="s">
        <v>1609</v>
      </c>
      <c r="O60" s="0" t="s">
        <v>1610</v>
      </c>
      <c r="P60" s="0" t="s">
        <v>1607</v>
      </c>
      <c r="Q60" s="0" t="s">
        <v>1611</v>
      </c>
      <c r="R60" s="0" t="s">
        <v>1612</v>
      </c>
      <c r="S60" s="0" t="s">
        <v>1613</v>
      </c>
      <c r="T60" s="0" t="s">
        <v>1614</v>
      </c>
      <c r="U60" s="0" t="s">
        <v>1615</v>
      </c>
      <c r="V60" s="0" t="s">
        <v>1616</v>
      </c>
      <c r="W60" s="2" t="s">
        <v>1617</v>
      </c>
      <c r="X60" s="0" t="s">
        <v>1618</v>
      </c>
      <c r="Y60" s="0" t="s">
        <v>1619</v>
      </c>
      <c r="Z60" s="0" t="s">
        <v>1616</v>
      </c>
      <c r="AA60" s="0" t="s">
        <v>1607</v>
      </c>
      <c r="AB60" s="0" t="s">
        <v>1620</v>
      </c>
      <c r="AC60" s="0" t="s">
        <v>1614</v>
      </c>
      <c r="AD60" s="0" t="s">
        <v>1621</v>
      </c>
      <c r="AE60" s="0" t="s">
        <v>1616</v>
      </c>
      <c r="AF60" s="0" t="s">
        <v>1603</v>
      </c>
      <c r="AG60" s="0" t="s">
        <v>1619</v>
      </c>
      <c r="AH60" s="0" t="s">
        <v>1607</v>
      </c>
      <c r="AI60" s="0" t="s">
        <v>1618</v>
      </c>
      <c r="AJ60" s="0" t="s">
        <v>1614</v>
      </c>
      <c r="AK60" s="0" t="s">
        <v>1622</v>
      </c>
      <c r="AL60" s="0" t="s">
        <v>1623</v>
      </c>
      <c r="AM60" s="0" t="s">
        <v>1624</v>
      </c>
      <c r="AN60" s="0" t="s">
        <v>1598</v>
      </c>
      <c r="AO60" s="0" t="s">
        <v>1625</v>
      </c>
      <c r="AP60" s="0" t="s">
        <v>1626</v>
      </c>
    </row>
    <row r="61" customFormat="false" ht="12.75" hidden="false" customHeight="false" outlineLevel="0" collapsed="false">
      <c r="A61" s="1" t="s">
        <v>1627</v>
      </c>
      <c r="B61" s="0" t="s">
        <v>1628</v>
      </c>
      <c r="C61" s="0" t="s">
        <v>1629</v>
      </c>
      <c r="D61" s="0" t="s">
        <v>1630</v>
      </c>
      <c r="E61" s="0" t="s">
        <v>1631</v>
      </c>
      <c r="F61" s="0" t="s">
        <v>1632</v>
      </c>
      <c r="G61" s="0" t="s">
        <v>1633</v>
      </c>
      <c r="H61" s="2" t="s">
        <v>1634</v>
      </c>
      <c r="I61" s="2" t="s">
        <v>1635</v>
      </c>
      <c r="J61" s="0" t="s">
        <v>1636</v>
      </c>
      <c r="K61" s="0" t="s">
        <v>1637</v>
      </c>
      <c r="L61" s="0" t="s">
        <v>1638</v>
      </c>
      <c r="M61" s="0" t="s">
        <v>1639</v>
      </c>
      <c r="N61" s="0" t="s">
        <v>1640</v>
      </c>
      <c r="O61" s="0" t="s">
        <v>1641</v>
      </c>
      <c r="P61" s="0" t="s">
        <v>1642</v>
      </c>
      <c r="Q61" s="0" t="s">
        <v>1643</v>
      </c>
      <c r="R61" s="0" t="s">
        <v>1644</v>
      </c>
      <c r="S61" s="0" t="s">
        <v>1645</v>
      </c>
      <c r="T61" s="0" t="s">
        <v>1627</v>
      </c>
      <c r="U61" s="0" t="s">
        <v>1646</v>
      </c>
      <c r="V61" s="0" t="s">
        <v>1627</v>
      </c>
      <c r="W61" s="2" t="s">
        <v>1647</v>
      </c>
      <c r="X61" s="0" t="s">
        <v>1636</v>
      </c>
      <c r="Y61" s="0" t="s">
        <v>1648</v>
      </c>
      <c r="Z61" s="0" t="s">
        <v>1649</v>
      </c>
      <c r="AA61" s="0" t="s">
        <v>1650</v>
      </c>
      <c r="AB61" s="0" t="s">
        <v>1651</v>
      </c>
      <c r="AC61" s="0" t="s">
        <v>1627</v>
      </c>
      <c r="AD61" s="0" t="s">
        <v>1652</v>
      </c>
      <c r="AE61" s="0" t="s">
        <v>1627</v>
      </c>
      <c r="AF61" s="0" t="s">
        <v>1632</v>
      </c>
      <c r="AG61" s="0" t="s">
        <v>1653</v>
      </c>
      <c r="AH61" s="0" t="s">
        <v>1654</v>
      </c>
      <c r="AI61" s="0" t="s">
        <v>1655</v>
      </c>
      <c r="AJ61" s="0" t="s">
        <v>1627</v>
      </c>
      <c r="AK61" s="0" t="s">
        <v>1656</v>
      </c>
      <c r="AL61" s="0" t="s">
        <v>1657</v>
      </c>
      <c r="AM61" s="0" t="s">
        <v>1658</v>
      </c>
      <c r="AN61" s="0" t="s">
        <v>1659</v>
      </c>
      <c r="AO61" s="0" t="s">
        <v>1660</v>
      </c>
      <c r="AP61" s="0" t="s">
        <v>1661</v>
      </c>
    </row>
    <row r="62" customFormat="false" ht="12.75" hidden="false" customHeight="false" outlineLevel="0" collapsed="false">
      <c r="A62" s="0" t="s">
        <v>1662</v>
      </c>
      <c r="B62" s="0" t="s">
        <v>1663</v>
      </c>
      <c r="C62" s="0" t="s">
        <v>1664</v>
      </c>
      <c r="D62" s="0" t="s">
        <v>1662</v>
      </c>
      <c r="E62" s="0" t="s">
        <v>1665</v>
      </c>
      <c r="F62" s="0" t="s">
        <v>1666</v>
      </c>
      <c r="G62" s="0" t="s">
        <v>1667</v>
      </c>
      <c r="H62" s="2" t="s">
        <v>1668</v>
      </c>
      <c r="I62" s="2" t="s">
        <v>1669</v>
      </c>
      <c r="J62" s="0" t="s">
        <v>1670</v>
      </c>
      <c r="K62" s="0" t="s">
        <v>1671</v>
      </c>
      <c r="L62" s="0" t="s">
        <v>1672</v>
      </c>
      <c r="M62" s="0" t="s">
        <v>1673</v>
      </c>
      <c r="N62" s="0" t="s">
        <v>1662</v>
      </c>
      <c r="O62" s="0" t="s">
        <v>1662</v>
      </c>
      <c r="P62" s="0" t="s">
        <v>1674</v>
      </c>
      <c r="Q62" s="0" t="s">
        <v>1675</v>
      </c>
      <c r="R62" s="0" t="s">
        <v>1676</v>
      </c>
      <c r="S62" s="0" t="s">
        <v>1677</v>
      </c>
      <c r="T62" s="0" t="s">
        <v>1678</v>
      </c>
      <c r="U62" s="0" t="s">
        <v>1662</v>
      </c>
      <c r="V62" s="0" t="s">
        <v>1679</v>
      </c>
      <c r="W62" s="2" t="s">
        <v>1680</v>
      </c>
      <c r="X62" s="0" t="s">
        <v>1681</v>
      </c>
      <c r="Y62" s="0" t="s">
        <v>1682</v>
      </c>
      <c r="Z62" s="0" t="s">
        <v>1683</v>
      </c>
      <c r="AA62" s="0" t="s">
        <v>1684</v>
      </c>
      <c r="AB62" s="0" t="s">
        <v>1685</v>
      </c>
      <c r="AC62" s="0" t="s">
        <v>1686</v>
      </c>
      <c r="AD62" s="0" t="s">
        <v>1667</v>
      </c>
      <c r="AE62" s="0" t="s">
        <v>1687</v>
      </c>
      <c r="AF62" s="0" t="s">
        <v>1666</v>
      </c>
      <c r="AG62" s="0" t="s">
        <v>1688</v>
      </c>
      <c r="AH62" s="0" t="s">
        <v>1689</v>
      </c>
      <c r="AI62" s="0" t="s">
        <v>1662</v>
      </c>
      <c r="AJ62" s="0" t="s">
        <v>1679</v>
      </c>
      <c r="AK62" s="0" t="s">
        <v>1684</v>
      </c>
      <c r="AL62" s="0" t="s">
        <v>1690</v>
      </c>
      <c r="AM62" s="0" t="s">
        <v>1665</v>
      </c>
      <c r="AN62" s="0" t="s">
        <v>1691</v>
      </c>
      <c r="AO62" s="0" t="s">
        <v>1692</v>
      </c>
      <c r="AP62" s="0" t="s">
        <v>1693</v>
      </c>
    </row>
    <row r="63" customFormat="false" ht="12.75" hidden="false" customHeight="false" outlineLevel="0" collapsed="false">
      <c r="A63" s="1"/>
    </row>
    <row r="64" customFormat="false" ht="12.75" hidden="false" customHeight="false" outlineLevel="0" collapsed="false">
      <c r="A64" s="1" t="s">
        <v>1694</v>
      </c>
      <c r="B64" s="0" t="s">
        <v>1695</v>
      </c>
      <c r="C64" s="0" t="s">
        <v>1696</v>
      </c>
      <c r="D64" s="0" t="s">
        <v>1697</v>
      </c>
      <c r="E64" s="0" t="s">
        <v>1698</v>
      </c>
      <c r="F64" s="0" t="s">
        <v>1699</v>
      </c>
      <c r="G64" s="0" t="s">
        <v>1700</v>
      </c>
      <c r="H64" s="2" t="s">
        <v>1701</v>
      </c>
      <c r="I64" s="2" t="s">
        <v>1702</v>
      </c>
      <c r="J64" s="0" t="s">
        <v>1703</v>
      </c>
      <c r="K64" s="0" t="s">
        <v>1704</v>
      </c>
      <c r="L64" s="0" t="s">
        <v>1705</v>
      </c>
      <c r="M64" s="0" t="s">
        <v>1705</v>
      </c>
      <c r="N64" s="0" t="s">
        <v>1706</v>
      </c>
      <c r="O64" s="0" t="s">
        <v>1707</v>
      </c>
      <c r="P64" s="0" t="s">
        <v>1705</v>
      </c>
      <c r="Q64" s="0" t="s">
        <v>1708</v>
      </c>
      <c r="R64" s="0" t="s">
        <v>1709</v>
      </c>
      <c r="S64" s="0" t="s">
        <v>1710</v>
      </c>
      <c r="T64" s="0" t="s">
        <v>1711</v>
      </c>
      <c r="U64" s="0" t="s">
        <v>1697</v>
      </c>
      <c r="V64" s="0" t="s">
        <v>1712</v>
      </c>
      <c r="W64" s="2" t="s">
        <v>1713</v>
      </c>
      <c r="X64" s="0" t="s">
        <v>1714</v>
      </c>
      <c r="Y64" s="0" t="s">
        <v>1715</v>
      </c>
      <c r="Z64" s="0" t="s">
        <v>1716</v>
      </c>
      <c r="AA64" s="0" t="s">
        <v>1705</v>
      </c>
      <c r="AB64" s="0" t="s">
        <v>1717</v>
      </c>
      <c r="AC64" s="0" t="s">
        <v>1718</v>
      </c>
      <c r="AD64" s="0" t="s">
        <v>1719</v>
      </c>
      <c r="AE64" s="0" t="s">
        <v>1712</v>
      </c>
      <c r="AF64" s="0" t="s">
        <v>1720</v>
      </c>
      <c r="AG64" s="0" t="s">
        <v>1721</v>
      </c>
      <c r="AH64" s="0" t="s">
        <v>1722</v>
      </c>
      <c r="AI64" s="0" t="s">
        <v>1703</v>
      </c>
      <c r="AJ64" s="0" t="s">
        <v>1712</v>
      </c>
      <c r="AK64" s="0" t="s">
        <v>1723</v>
      </c>
      <c r="AL64" s="0" t="s">
        <v>1724</v>
      </c>
      <c r="AM64" s="0" t="s">
        <v>1725</v>
      </c>
      <c r="AN64" s="0" t="s">
        <v>1726</v>
      </c>
      <c r="AO64" s="0" t="s">
        <v>1727</v>
      </c>
      <c r="AP64" s="0" t="s">
        <v>1728</v>
      </c>
    </row>
    <row r="66" customFormat="false" ht="12.75" hidden="false" customHeight="false" outlineLevel="0" collapsed="false">
      <c r="A66" s="0" t="s">
        <v>1729</v>
      </c>
      <c r="B66" s="0" t="s">
        <v>1730</v>
      </c>
      <c r="C66" s="0" t="s">
        <v>1731</v>
      </c>
      <c r="D66" s="0" t="s">
        <v>1732</v>
      </c>
      <c r="E66" s="0" t="s">
        <v>1733</v>
      </c>
      <c r="F66" s="0" t="s">
        <v>1734</v>
      </c>
      <c r="G66" s="0" t="s">
        <v>1735</v>
      </c>
      <c r="H66" s="2" t="s">
        <v>1736</v>
      </c>
      <c r="I66" s="2" t="s">
        <v>1737</v>
      </c>
      <c r="J66" s="0" t="s">
        <v>1738</v>
      </c>
      <c r="K66" s="0" t="s">
        <v>1739</v>
      </c>
      <c r="L66" s="0" t="s">
        <v>1729</v>
      </c>
      <c r="M66" s="0" t="s">
        <v>1740</v>
      </c>
      <c r="N66" s="0" t="s">
        <v>1741</v>
      </c>
      <c r="O66" s="0" t="s">
        <v>1729</v>
      </c>
      <c r="P66" s="0" t="s">
        <v>1729</v>
      </c>
      <c r="Q66" s="0" t="s">
        <v>1742</v>
      </c>
      <c r="R66" s="0" t="s">
        <v>1743</v>
      </c>
      <c r="S66" s="0" t="s">
        <v>1744</v>
      </c>
      <c r="T66" s="0" t="s">
        <v>1745</v>
      </c>
      <c r="U66" s="0" t="s">
        <v>1729</v>
      </c>
      <c r="V66" s="0" t="s">
        <v>1746</v>
      </c>
      <c r="W66" s="2" t="s">
        <v>1747</v>
      </c>
      <c r="X66" s="0" t="s">
        <v>1748</v>
      </c>
      <c r="Y66" s="0" t="s">
        <v>1749</v>
      </c>
      <c r="Z66" s="0" t="s">
        <v>1750</v>
      </c>
      <c r="AA66" s="0" t="s">
        <v>1729</v>
      </c>
      <c r="AB66" s="0" t="s">
        <v>1751</v>
      </c>
      <c r="AC66" s="0" t="s">
        <v>1744</v>
      </c>
      <c r="AD66" s="0" t="s">
        <v>1752</v>
      </c>
      <c r="AE66" s="0" t="s">
        <v>1744</v>
      </c>
      <c r="AF66" s="0" t="s">
        <v>1734</v>
      </c>
      <c r="AG66" s="0" t="s">
        <v>1753</v>
      </c>
      <c r="AH66" s="0" t="s">
        <v>1754</v>
      </c>
      <c r="AI66" s="0" t="s">
        <v>1748</v>
      </c>
      <c r="AJ66" s="0" t="s">
        <v>1752</v>
      </c>
      <c r="AK66" s="0" t="s">
        <v>1729</v>
      </c>
      <c r="AL66" s="0" t="s">
        <v>1755</v>
      </c>
      <c r="AM66" s="0" t="s">
        <v>1756</v>
      </c>
      <c r="AN66" s="0" t="s">
        <v>1757</v>
      </c>
      <c r="AO66" s="0" t="s">
        <v>1758</v>
      </c>
      <c r="AP66" s="0" t="s">
        <v>1759</v>
      </c>
    </row>
    <row r="67" customFormat="false" ht="12.75" hidden="false" customHeight="false" outlineLevel="0" collapsed="false">
      <c r="A67" s="0" t="s">
        <v>1760</v>
      </c>
      <c r="B67" s="0" t="s">
        <v>1761</v>
      </c>
      <c r="C67" s="0" t="s">
        <v>1762</v>
      </c>
      <c r="D67" s="0" t="s">
        <v>1763</v>
      </c>
      <c r="E67" s="0" t="s">
        <v>1764</v>
      </c>
      <c r="F67" s="0" t="s">
        <v>1765</v>
      </c>
      <c r="G67" s="0" t="s">
        <v>1766</v>
      </c>
      <c r="H67" s="2" t="s">
        <v>1767</v>
      </c>
      <c r="I67" s="2" t="s">
        <v>1768</v>
      </c>
      <c r="J67" s="0" t="s">
        <v>1769</v>
      </c>
      <c r="K67" s="0" t="s">
        <v>1770</v>
      </c>
      <c r="L67" s="0" t="s">
        <v>1771</v>
      </c>
      <c r="M67" s="0" t="s">
        <v>1772</v>
      </c>
      <c r="N67" s="0" t="s">
        <v>1773</v>
      </c>
      <c r="O67" s="0" t="s">
        <v>1774</v>
      </c>
      <c r="P67" s="0" t="s">
        <v>1771</v>
      </c>
      <c r="Q67" s="0" t="s">
        <v>1775</v>
      </c>
      <c r="R67" s="0" t="s">
        <v>1776</v>
      </c>
      <c r="S67" s="0" t="s">
        <v>1760</v>
      </c>
      <c r="T67" s="0" t="s">
        <v>1777</v>
      </c>
      <c r="U67" s="0" t="s">
        <v>1760</v>
      </c>
      <c r="V67" s="0" t="s">
        <v>1778</v>
      </c>
      <c r="W67" s="2" t="s">
        <v>1779</v>
      </c>
      <c r="X67" s="0" t="s">
        <v>1769</v>
      </c>
      <c r="Y67" s="0" t="s">
        <v>1780</v>
      </c>
      <c r="Z67" s="0" t="s">
        <v>1781</v>
      </c>
      <c r="AA67" s="0" t="s">
        <v>1777</v>
      </c>
      <c r="AB67" s="0" t="s">
        <v>1782</v>
      </c>
      <c r="AC67" s="0" t="s">
        <v>1777</v>
      </c>
      <c r="AD67" s="0" t="s">
        <v>1783</v>
      </c>
      <c r="AE67" s="0" t="s">
        <v>1777</v>
      </c>
      <c r="AF67" s="0" t="s">
        <v>1784</v>
      </c>
      <c r="AG67" s="0" t="s">
        <v>1785</v>
      </c>
      <c r="AH67" s="0" t="s">
        <v>1786</v>
      </c>
      <c r="AI67" s="0" t="s">
        <v>1769</v>
      </c>
      <c r="AJ67" s="0" t="s">
        <v>1783</v>
      </c>
      <c r="AK67" s="0" t="s">
        <v>1771</v>
      </c>
      <c r="AL67" s="0" t="s">
        <v>1787</v>
      </c>
      <c r="AM67" s="0" t="s">
        <v>1764</v>
      </c>
      <c r="AN67" s="0" t="s">
        <v>1788</v>
      </c>
      <c r="AO67" s="0" t="s">
        <v>1789</v>
      </c>
      <c r="AP67" s="0" t="s">
        <v>1790</v>
      </c>
    </row>
    <row r="68" customFormat="false" ht="12.75" hidden="false" customHeight="false" outlineLevel="0" collapsed="false">
      <c r="A68" s="1" t="s">
        <v>1791</v>
      </c>
      <c r="B68" s="0" t="s">
        <v>1792</v>
      </c>
      <c r="C68" s="0" t="s">
        <v>1793</v>
      </c>
      <c r="D68" s="0" t="s">
        <v>1794</v>
      </c>
      <c r="E68" s="0" t="s">
        <v>1795</v>
      </c>
      <c r="F68" s="0" t="s">
        <v>1796</v>
      </c>
      <c r="G68" s="0" t="s">
        <v>1797</v>
      </c>
      <c r="H68" s="2" t="s">
        <v>1798</v>
      </c>
      <c r="I68" s="2" t="s">
        <v>1798</v>
      </c>
      <c r="J68" s="0" t="s">
        <v>1799</v>
      </c>
      <c r="K68" s="0" t="s">
        <v>1800</v>
      </c>
      <c r="L68" s="0" t="s">
        <v>1801</v>
      </c>
      <c r="M68" s="0" t="s">
        <v>1802</v>
      </c>
      <c r="N68" s="0" t="s">
        <v>1803</v>
      </c>
      <c r="O68" s="0" t="s">
        <v>1804</v>
      </c>
      <c r="P68" s="0" t="s">
        <v>1805</v>
      </c>
      <c r="Q68" s="0" t="s">
        <v>1806</v>
      </c>
      <c r="R68" s="0" t="s">
        <v>1807</v>
      </c>
      <c r="S68" s="0" t="s">
        <v>1808</v>
      </c>
      <c r="T68" s="0" t="s">
        <v>1809</v>
      </c>
      <c r="U68" s="0" t="s">
        <v>1810</v>
      </c>
      <c r="V68" s="0" t="s">
        <v>1811</v>
      </c>
      <c r="W68" s="2" t="s">
        <v>1812</v>
      </c>
      <c r="X68" s="0" t="s">
        <v>1813</v>
      </c>
      <c r="Y68" s="0" t="s">
        <v>1814</v>
      </c>
      <c r="Z68" s="0" t="s">
        <v>1815</v>
      </c>
      <c r="AA68" s="0" t="s">
        <v>1801</v>
      </c>
      <c r="AB68" s="0" t="s">
        <v>1816</v>
      </c>
      <c r="AC68" s="0" t="s">
        <v>1817</v>
      </c>
      <c r="AD68" s="0" t="s">
        <v>1818</v>
      </c>
      <c r="AE68" s="0" t="s">
        <v>1819</v>
      </c>
      <c r="AF68" s="0" t="s">
        <v>1796</v>
      </c>
      <c r="AG68" s="0" t="s">
        <v>1814</v>
      </c>
      <c r="AH68" s="0" t="s">
        <v>1800</v>
      </c>
      <c r="AI68" s="0" t="s">
        <v>1799</v>
      </c>
      <c r="AJ68" s="0" t="s">
        <v>1820</v>
      </c>
      <c r="AK68" s="0" t="s">
        <v>1821</v>
      </c>
      <c r="AL68" s="0" t="s">
        <v>1822</v>
      </c>
      <c r="AM68" s="0" t="s">
        <v>1795</v>
      </c>
      <c r="AN68" s="0" t="s">
        <v>1823</v>
      </c>
      <c r="AO68" s="0" t="s">
        <v>1824</v>
      </c>
      <c r="AP68" s="0" t="s">
        <v>1825</v>
      </c>
    </row>
    <row r="69" customFormat="false" ht="12.75" hidden="false" customHeight="false" outlineLevel="0" collapsed="false">
      <c r="A69" s="0" t="s">
        <v>1826</v>
      </c>
      <c r="B69" s="0" t="s">
        <v>1827</v>
      </c>
      <c r="C69" s="0" t="s">
        <v>1828</v>
      </c>
      <c r="D69" s="0" t="s">
        <v>1829</v>
      </c>
      <c r="E69" s="0" t="s">
        <v>1830</v>
      </c>
      <c r="F69" s="0" t="s">
        <v>1831</v>
      </c>
      <c r="G69" s="0" t="s">
        <v>1832</v>
      </c>
      <c r="H69" s="2" t="s">
        <v>1833</v>
      </c>
      <c r="I69" s="2" t="s">
        <v>1834</v>
      </c>
      <c r="J69" s="0" t="s">
        <v>1835</v>
      </c>
      <c r="K69" s="0" t="s">
        <v>1836</v>
      </c>
      <c r="L69" s="0" t="s">
        <v>1837</v>
      </c>
      <c r="M69" s="0" t="s">
        <v>1837</v>
      </c>
      <c r="N69" s="0" t="s">
        <v>1838</v>
      </c>
      <c r="O69" s="0" t="s">
        <v>1839</v>
      </c>
      <c r="P69" s="0" t="s">
        <v>1840</v>
      </c>
      <c r="Q69" s="0" t="s">
        <v>1841</v>
      </c>
      <c r="R69" s="0" t="s">
        <v>1842</v>
      </c>
      <c r="S69" s="0" t="s">
        <v>1843</v>
      </c>
      <c r="T69" s="0" t="s">
        <v>1844</v>
      </c>
      <c r="U69" s="0" t="s">
        <v>1845</v>
      </c>
      <c r="V69" s="0" t="s">
        <v>1826</v>
      </c>
      <c r="W69" s="2" t="s">
        <v>1846</v>
      </c>
      <c r="X69" s="0" t="s">
        <v>1835</v>
      </c>
      <c r="Y69" s="0" t="s">
        <v>1847</v>
      </c>
      <c r="Z69" s="0" t="s">
        <v>1848</v>
      </c>
      <c r="AA69" s="0" t="s">
        <v>1840</v>
      </c>
      <c r="AB69" s="0" t="s">
        <v>1849</v>
      </c>
      <c r="AC69" s="0" t="s">
        <v>1850</v>
      </c>
      <c r="AD69" s="0" t="s">
        <v>1832</v>
      </c>
      <c r="AE69" s="0" t="s">
        <v>1844</v>
      </c>
      <c r="AF69" s="0" t="s">
        <v>1851</v>
      </c>
      <c r="AG69" s="0" t="s">
        <v>1847</v>
      </c>
      <c r="AH69" s="0" t="s">
        <v>1852</v>
      </c>
      <c r="AI69" s="0" t="s">
        <v>1835</v>
      </c>
      <c r="AJ69" s="0" t="s">
        <v>1844</v>
      </c>
      <c r="AK69" s="0" t="s">
        <v>1853</v>
      </c>
      <c r="AL69" s="0" t="s">
        <v>1854</v>
      </c>
      <c r="AM69" s="0" t="s">
        <v>1855</v>
      </c>
      <c r="AN69" s="0" t="s">
        <v>1856</v>
      </c>
      <c r="AO69" s="0" t="s">
        <v>1857</v>
      </c>
      <c r="AP69" s="0" t="s">
        <v>1858</v>
      </c>
    </row>
    <row r="70" customFormat="false" ht="12.75" hidden="false" customHeight="false" outlineLevel="0" collapsed="false">
      <c r="A70" s="0" t="s">
        <v>1859</v>
      </c>
      <c r="B70" s="0" t="s">
        <v>1859</v>
      </c>
      <c r="C70" s="0" t="s">
        <v>1859</v>
      </c>
      <c r="D70" s="0" t="s">
        <v>1859</v>
      </c>
      <c r="E70" s="0" t="s">
        <v>1859</v>
      </c>
      <c r="F70" s="0" t="s">
        <v>1859</v>
      </c>
      <c r="G70" s="0" t="s">
        <v>1859</v>
      </c>
      <c r="H70" s="0" t="s">
        <v>1859</v>
      </c>
      <c r="I70" s="0" t="s">
        <v>1859</v>
      </c>
      <c r="J70" s="0" t="s">
        <v>1859</v>
      </c>
      <c r="K70" s="0" t="s">
        <v>1859</v>
      </c>
      <c r="L70" s="0" t="s">
        <v>1859</v>
      </c>
      <c r="M70" s="0" t="s">
        <v>1860</v>
      </c>
      <c r="N70" s="0" t="s">
        <v>1859</v>
      </c>
      <c r="O70" s="0" t="s">
        <v>1859</v>
      </c>
      <c r="P70" s="0" t="s">
        <v>1859</v>
      </c>
      <c r="Q70" s="0" t="s">
        <v>1859</v>
      </c>
      <c r="R70" s="0" t="s">
        <v>1859</v>
      </c>
      <c r="S70" s="0" t="s">
        <v>1859</v>
      </c>
      <c r="T70" s="0" t="s">
        <v>1859</v>
      </c>
      <c r="U70" s="0" t="s">
        <v>1859</v>
      </c>
      <c r="V70" s="0" t="s">
        <v>1859</v>
      </c>
      <c r="W70" s="0" t="s">
        <v>1861</v>
      </c>
      <c r="X70" s="0" t="s">
        <v>1859</v>
      </c>
      <c r="Y70" s="0" t="s">
        <v>1859</v>
      </c>
      <c r="Z70" s="0" t="s">
        <v>1859</v>
      </c>
      <c r="AA70" s="0" t="s">
        <v>1859</v>
      </c>
      <c r="AB70" s="0" t="s">
        <v>1862</v>
      </c>
      <c r="AC70" s="0" t="s">
        <v>1859</v>
      </c>
      <c r="AD70" s="0" t="s">
        <v>1859</v>
      </c>
      <c r="AE70" s="0" t="s">
        <v>1859</v>
      </c>
      <c r="AF70" s="0" t="s">
        <v>1859</v>
      </c>
      <c r="AG70" s="0" t="s">
        <v>1859</v>
      </c>
      <c r="AH70" s="0" t="s">
        <v>1859</v>
      </c>
      <c r="AI70" s="0" t="s">
        <v>1859</v>
      </c>
      <c r="AJ70" s="0" t="s">
        <v>1859</v>
      </c>
      <c r="AK70" s="0" t="s">
        <v>1859</v>
      </c>
      <c r="AL70" s="0" t="s">
        <v>1863</v>
      </c>
      <c r="AM70" s="0" t="s">
        <v>1860</v>
      </c>
      <c r="AN70" s="0" t="s">
        <v>1859</v>
      </c>
      <c r="AO70" s="0" t="s">
        <v>1859</v>
      </c>
      <c r="AP70" s="0" t="s">
        <v>1864</v>
      </c>
    </row>
    <row r="71" customFormat="false" ht="12.75" hidden="false" customHeight="false" outlineLevel="0" collapsed="false">
      <c r="A71" s="0" t="s">
        <v>1865</v>
      </c>
      <c r="B71" s="0" t="s">
        <v>1865</v>
      </c>
      <c r="C71" s="0" t="s">
        <v>1865</v>
      </c>
      <c r="D71" s="0" t="s">
        <v>1865</v>
      </c>
      <c r="E71" s="0" t="s">
        <v>1865</v>
      </c>
      <c r="F71" s="0" t="s">
        <v>1865</v>
      </c>
      <c r="G71" s="0" t="s">
        <v>1865</v>
      </c>
      <c r="H71" s="0" t="s">
        <v>1865</v>
      </c>
      <c r="I71" s="0" t="s">
        <v>1865</v>
      </c>
      <c r="J71" s="0" t="s">
        <v>1865</v>
      </c>
      <c r="K71" s="0" t="s">
        <v>1865</v>
      </c>
      <c r="L71" s="0" t="s">
        <v>1865</v>
      </c>
      <c r="M71" s="0" t="s">
        <v>1866</v>
      </c>
      <c r="N71" s="0" t="s">
        <v>1865</v>
      </c>
      <c r="O71" s="0" t="s">
        <v>1865</v>
      </c>
      <c r="P71" s="0" t="s">
        <v>1865</v>
      </c>
      <c r="Q71" s="0" t="s">
        <v>1865</v>
      </c>
      <c r="R71" s="0" t="s">
        <v>1865</v>
      </c>
      <c r="S71" s="0" t="s">
        <v>1865</v>
      </c>
      <c r="T71" s="0" t="s">
        <v>1865</v>
      </c>
      <c r="U71" s="0" t="s">
        <v>1865</v>
      </c>
      <c r="V71" s="0" t="s">
        <v>1865</v>
      </c>
      <c r="W71" s="0" t="s">
        <v>1867</v>
      </c>
      <c r="X71" s="0" t="s">
        <v>1865</v>
      </c>
      <c r="Y71" s="0" t="s">
        <v>1865</v>
      </c>
      <c r="Z71" s="0" t="s">
        <v>1865</v>
      </c>
      <c r="AA71" s="0" t="s">
        <v>1865</v>
      </c>
      <c r="AB71" s="0" t="s">
        <v>1868</v>
      </c>
      <c r="AC71" s="0" t="s">
        <v>1865</v>
      </c>
      <c r="AD71" s="0" t="s">
        <v>1865</v>
      </c>
      <c r="AE71" s="0" t="s">
        <v>1865</v>
      </c>
      <c r="AF71" s="0" t="s">
        <v>1865</v>
      </c>
      <c r="AG71" s="0" t="s">
        <v>1865</v>
      </c>
      <c r="AH71" s="0" t="s">
        <v>1865</v>
      </c>
      <c r="AI71" s="0" t="s">
        <v>1865</v>
      </c>
      <c r="AJ71" s="0" t="s">
        <v>1865</v>
      </c>
      <c r="AK71" s="0" t="s">
        <v>1865</v>
      </c>
      <c r="AL71" s="0" t="s">
        <v>1869</v>
      </c>
      <c r="AM71" s="0" t="s">
        <v>1866</v>
      </c>
      <c r="AN71" s="0" t="s">
        <v>1865</v>
      </c>
      <c r="AO71" s="0" t="s">
        <v>1865</v>
      </c>
      <c r="AP71" s="0" t="s">
        <v>1870</v>
      </c>
    </row>
    <row r="72" customFormat="false" ht="12.75" hidden="false" customHeight="false" outlineLevel="0" collapsed="false">
      <c r="A72" s="0" t="s">
        <v>1871</v>
      </c>
      <c r="B72" s="0" t="s">
        <v>1871</v>
      </c>
      <c r="C72" s="0" t="s">
        <v>1871</v>
      </c>
      <c r="D72" s="0" t="s">
        <v>1871</v>
      </c>
      <c r="E72" s="0" t="s">
        <v>1871</v>
      </c>
      <c r="F72" s="0" t="s">
        <v>1871</v>
      </c>
      <c r="G72" s="0" t="s">
        <v>1871</v>
      </c>
      <c r="H72" s="0" t="s">
        <v>1871</v>
      </c>
      <c r="I72" s="0" t="s">
        <v>1871</v>
      </c>
      <c r="J72" s="0" t="s">
        <v>1871</v>
      </c>
      <c r="K72" s="0" t="s">
        <v>1871</v>
      </c>
      <c r="L72" s="0" t="s">
        <v>1871</v>
      </c>
      <c r="M72" s="0" t="s">
        <v>1872</v>
      </c>
      <c r="N72" s="0" t="s">
        <v>1871</v>
      </c>
      <c r="O72" s="0" t="s">
        <v>1871</v>
      </c>
      <c r="P72" s="0" t="s">
        <v>1871</v>
      </c>
      <c r="Q72" s="0" t="s">
        <v>1871</v>
      </c>
      <c r="R72" s="0" t="s">
        <v>1871</v>
      </c>
      <c r="S72" s="0" t="s">
        <v>1871</v>
      </c>
      <c r="T72" s="0" t="s">
        <v>1871</v>
      </c>
      <c r="U72" s="0" t="s">
        <v>1871</v>
      </c>
      <c r="V72" s="0" t="s">
        <v>1871</v>
      </c>
      <c r="W72" s="0" t="s">
        <v>1873</v>
      </c>
      <c r="X72" s="0" t="s">
        <v>1871</v>
      </c>
      <c r="Y72" s="0" t="s">
        <v>1871</v>
      </c>
      <c r="Z72" s="0" t="s">
        <v>1871</v>
      </c>
      <c r="AA72" s="0" t="s">
        <v>1871</v>
      </c>
      <c r="AB72" s="0" t="s">
        <v>1874</v>
      </c>
      <c r="AC72" s="0" t="s">
        <v>1871</v>
      </c>
      <c r="AD72" s="0" t="s">
        <v>1871</v>
      </c>
      <c r="AE72" s="0" t="s">
        <v>1871</v>
      </c>
      <c r="AF72" s="0" t="s">
        <v>1871</v>
      </c>
      <c r="AG72" s="0" t="s">
        <v>1871</v>
      </c>
      <c r="AH72" s="0" t="s">
        <v>1871</v>
      </c>
      <c r="AI72" s="0" t="s">
        <v>1871</v>
      </c>
      <c r="AJ72" s="0" t="s">
        <v>1871</v>
      </c>
      <c r="AK72" s="0" t="s">
        <v>1871</v>
      </c>
      <c r="AL72" s="0" t="s">
        <v>1875</v>
      </c>
      <c r="AM72" s="0" t="s">
        <v>1872</v>
      </c>
      <c r="AN72" s="0" t="s">
        <v>1871</v>
      </c>
      <c r="AO72" s="0" t="s">
        <v>1871</v>
      </c>
      <c r="AP72" s="0" t="s">
        <v>1876</v>
      </c>
    </row>
    <row r="73" customFormat="false" ht="12.75" hidden="false" customHeight="false" outlineLevel="0" collapsed="false">
      <c r="A73" s="0" t="s">
        <v>1877</v>
      </c>
      <c r="B73" s="0" t="s">
        <v>1877</v>
      </c>
      <c r="C73" s="0" t="s">
        <v>1877</v>
      </c>
      <c r="D73" s="0" t="s">
        <v>1877</v>
      </c>
      <c r="E73" s="0" t="s">
        <v>1877</v>
      </c>
      <c r="F73" s="0" t="s">
        <v>1877</v>
      </c>
      <c r="G73" s="0" t="s">
        <v>1877</v>
      </c>
      <c r="H73" s="0" t="s">
        <v>1877</v>
      </c>
      <c r="I73" s="0" t="s">
        <v>1877</v>
      </c>
      <c r="J73" s="0" t="s">
        <v>1877</v>
      </c>
      <c r="K73" s="0" t="s">
        <v>1877</v>
      </c>
      <c r="L73" s="0" t="s">
        <v>1877</v>
      </c>
      <c r="M73" s="0" t="s">
        <v>1878</v>
      </c>
      <c r="N73" s="0" t="s">
        <v>1877</v>
      </c>
      <c r="O73" s="0" t="s">
        <v>1877</v>
      </c>
      <c r="P73" s="0" t="s">
        <v>1877</v>
      </c>
      <c r="Q73" s="0" t="s">
        <v>1877</v>
      </c>
      <c r="R73" s="0" t="s">
        <v>1877</v>
      </c>
      <c r="S73" s="0" t="s">
        <v>1877</v>
      </c>
      <c r="T73" s="0" t="s">
        <v>1877</v>
      </c>
      <c r="U73" s="0" t="s">
        <v>1877</v>
      </c>
      <c r="V73" s="0" t="s">
        <v>1877</v>
      </c>
      <c r="W73" s="0" t="s">
        <v>1879</v>
      </c>
      <c r="X73" s="0" t="s">
        <v>1877</v>
      </c>
      <c r="Y73" s="0" t="s">
        <v>1877</v>
      </c>
      <c r="Z73" s="0" t="s">
        <v>1877</v>
      </c>
      <c r="AA73" s="0" t="s">
        <v>1877</v>
      </c>
      <c r="AB73" s="0" t="s">
        <v>1880</v>
      </c>
      <c r="AC73" s="0" t="s">
        <v>1877</v>
      </c>
      <c r="AD73" s="0" t="s">
        <v>1877</v>
      </c>
      <c r="AE73" s="0" t="s">
        <v>1877</v>
      </c>
      <c r="AF73" s="0" t="s">
        <v>1877</v>
      </c>
      <c r="AG73" s="0" t="s">
        <v>1877</v>
      </c>
      <c r="AH73" s="0" t="s">
        <v>1877</v>
      </c>
      <c r="AI73" s="0" t="s">
        <v>1877</v>
      </c>
      <c r="AJ73" s="0" t="s">
        <v>1877</v>
      </c>
      <c r="AK73" s="0" t="s">
        <v>1877</v>
      </c>
      <c r="AL73" s="0" t="s">
        <v>1881</v>
      </c>
      <c r="AM73" s="0" t="s">
        <v>1878</v>
      </c>
      <c r="AN73" s="0" t="s">
        <v>1877</v>
      </c>
      <c r="AO73" s="0" t="s">
        <v>1877</v>
      </c>
      <c r="AP73" s="0" t="s">
        <v>1882</v>
      </c>
    </row>
    <row r="74" customFormat="false" ht="12.75" hidden="false" customHeight="false" outlineLevel="0" collapsed="false">
      <c r="A74" s="0" t="s">
        <v>1883</v>
      </c>
      <c r="B74" s="0" t="s">
        <v>1883</v>
      </c>
      <c r="C74" s="0" t="s">
        <v>1883</v>
      </c>
      <c r="D74" s="0" t="s">
        <v>1883</v>
      </c>
      <c r="E74" s="0" t="s">
        <v>1883</v>
      </c>
      <c r="F74" s="0" t="s">
        <v>1883</v>
      </c>
      <c r="G74" s="0" t="s">
        <v>1883</v>
      </c>
      <c r="H74" s="0" t="s">
        <v>1883</v>
      </c>
      <c r="I74" s="0" t="s">
        <v>1883</v>
      </c>
      <c r="J74" s="0" t="s">
        <v>1883</v>
      </c>
      <c r="K74" s="0" t="s">
        <v>1883</v>
      </c>
      <c r="L74" s="0" t="s">
        <v>1883</v>
      </c>
      <c r="M74" s="0" t="s">
        <v>1884</v>
      </c>
      <c r="N74" s="0" t="s">
        <v>1883</v>
      </c>
      <c r="O74" s="0" t="s">
        <v>1883</v>
      </c>
      <c r="P74" s="0" t="s">
        <v>1883</v>
      </c>
      <c r="Q74" s="0" t="s">
        <v>1885</v>
      </c>
      <c r="R74" s="0" t="s">
        <v>1883</v>
      </c>
      <c r="S74" s="0" t="s">
        <v>1883</v>
      </c>
      <c r="T74" s="0" t="s">
        <v>1883</v>
      </c>
      <c r="U74" s="0" t="s">
        <v>1883</v>
      </c>
      <c r="V74" s="0" t="s">
        <v>1883</v>
      </c>
      <c r="W74" s="0" t="s">
        <v>1886</v>
      </c>
      <c r="X74" s="0" t="s">
        <v>1883</v>
      </c>
      <c r="Y74" s="0" t="s">
        <v>1883</v>
      </c>
      <c r="Z74" s="0" t="s">
        <v>1887</v>
      </c>
      <c r="AA74" s="0" t="s">
        <v>1883</v>
      </c>
      <c r="AB74" s="0" t="s">
        <v>1888</v>
      </c>
      <c r="AC74" s="0" t="s">
        <v>1883</v>
      </c>
      <c r="AD74" s="0" t="s">
        <v>1883</v>
      </c>
      <c r="AE74" s="0" t="s">
        <v>1883</v>
      </c>
      <c r="AF74" s="0" t="s">
        <v>1883</v>
      </c>
      <c r="AG74" s="0" t="s">
        <v>1883</v>
      </c>
      <c r="AH74" s="0" t="s">
        <v>1883</v>
      </c>
      <c r="AI74" s="0" t="s">
        <v>1883</v>
      </c>
      <c r="AJ74" s="0" t="s">
        <v>1883</v>
      </c>
      <c r="AK74" s="0" t="s">
        <v>1883</v>
      </c>
      <c r="AL74" s="0" t="s">
        <v>1889</v>
      </c>
      <c r="AM74" s="0" t="s">
        <v>1884</v>
      </c>
      <c r="AN74" s="0" t="s">
        <v>1883</v>
      </c>
      <c r="AO74" s="0" t="s">
        <v>1883</v>
      </c>
      <c r="AP74" s="0" t="s">
        <v>1890</v>
      </c>
    </row>
    <row r="75" customFormat="false" ht="12.75" hidden="false" customHeight="false" outlineLevel="0" collapsed="false">
      <c r="A75" s="0" t="s">
        <v>1891</v>
      </c>
      <c r="B75" s="0" t="s">
        <v>1891</v>
      </c>
      <c r="C75" s="0" t="s">
        <v>1891</v>
      </c>
      <c r="D75" s="0" t="s">
        <v>1891</v>
      </c>
      <c r="E75" s="0" t="s">
        <v>1891</v>
      </c>
      <c r="F75" s="0" t="s">
        <v>1891</v>
      </c>
      <c r="G75" s="0" t="s">
        <v>1891</v>
      </c>
      <c r="H75" s="0" t="s">
        <v>1891</v>
      </c>
      <c r="I75" s="0" t="s">
        <v>1891</v>
      </c>
      <c r="J75" s="0" t="s">
        <v>1891</v>
      </c>
      <c r="K75" s="0" t="s">
        <v>1891</v>
      </c>
      <c r="L75" s="0" t="s">
        <v>1891</v>
      </c>
      <c r="M75" s="0" t="s">
        <v>1892</v>
      </c>
      <c r="N75" s="0" t="s">
        <v>1891</v>
      </c>
      <c r="O75" s="0" t="s">
        <v>1891</v>
      </c>
      <c r="P75" s="0" t="s">
        <v>1891</v>
      </c>
      <c r="Q75" s="0" t="s">
        <v>1893</v>
      </c>
      <c r="R75" s="0" t="s">
        <v>1891</v>
      </c>
      <c r="S75" s="0" t="s">
        <v>1891</v>
      </c>
      <c r="T75" s="0" t="s">
        <v>1891</v>
      </c>
      <c r="U75" s="0" t="s">
        <v>1891</v>
      </c>
      <c r="V75" s="0" t="s">
        <v>1891</v>
      </c>
      <c r="W75" s="0" t="s">
        <v>1894</v>
      </c>
      <c r="X75" s="0" t="s">
        <v>1891</v>
      </c>
      <c r="Y75" s="0" t="s">
        <v>1891</v>
      </c>
      <c r="Z75" s="0" t="s">
        <v>1895</v>
      </c>
      <c r="AA75" s="0" t="s">
        <v>1891</v>
      </c>
      <c r="AB75" s="0" t="s">
        <v>1896</v>
      </c>
      <c r="AC75" s="0" t="s">
        <v>1891</v>
      </c>
      <c r="AD75" s="0" t="s">
        <v>1891</v>
      </c>
      <c r="AE75" s="0" t="s">
        <v>1891</v>
      </c>
      <c r="AF75" s="0" t="s">
        <v>1891</v>
      </c>
      <c r="AG75" s="0" t="s">
        <v>1891</v>
      </c>
      <c r="AH75" s="0" t="s">
        <v>1891</v>
      </c>
      <c r="AI75" s="0" t="s">
        <v>1891</v>
      </c>
      <c r="AJ75" s="0" t="s">
        <v>1891</v>
      </c>
      <c r="AK75" s="0" t="s">
        <v>1891</v>
      </c>
      <c r="AL75" s="0" t="s">
        <v>1897</v>
      </c>
      <c r="AM75" s="0" t="s">
        <v>1892</v>
      </c>
      <c r="AN75" s="0" t="s">
        <v>1891</v>
      </c>
      <c r="AO75" s="0" t="s">
        <v>1891</v>
      </c>
      <c r="AP75" s="0" t="s">
        <v>1898</v>
      </c>
    </row>
    <row r="76" customFormat="false" ht="12.75" hidden="false" customHeight="false" outlineLevel="0" collapsed="false">
      <c r="A76" s="0" t="s">
        <v>1899</v>
      </c>
      <c r="B76" s="0" t="s">
        <v>1899</v>
      </c>
      <c r="C76" s="0" t="s">
        <v>1899</v>
      </c>
      <c r="D76" s="0" t="s">
        <v>1899</v>
      </c>
      <c r="E76" s="0" t="s">
        <v>1899</v>
      </c>
      <c r="F76" s="0" t="s">
        <v>1899</v>
      </c>
      <c r="G76" s="0" t="s">
        <v>1899</v>
      </c>
      <c r="H76" s="0" t="s">
        <v>1899</v>
      </c>
      <c r="I76" s="0" t="s">
        <v>1899</v>
      </c>
      <c r="J76" s="0" t="s">
        <v>1899</v>
      </c>
      <c r="K76" s="0" t="s">
        <v>1899</v>
      </c>
      <c r="L76" s="0" t="s">
        <v>1899</v>
      </c>
      <c r="M76" s="0" t="s">
        <v>1900</v>
      </c>
      <c r="N76" s="0" t="s">
        <v>1899</v>
      </c>
      <c r="O76" s="0" t="s">
        <v>1899</v>
      </c>
      <c r="P76" s="0" t="s">
        <v>1899</v>
      </c>
      <c r="Q76" s="0" t="s">
        <v>1901</v>
      </c>
      <c r="R76" s="0" t="s">
        <v>1899</v>
      </c>
      <c r="S76" s="0" t="s">
        <v>1899</v>
      </c>
      <c r="T76" s="0" t="s">
        <v>1899</v>
      </c>
      <c r="U76" s="0" t="s">
        <v>1899</v>
      </c>
      <c r="V76" s="0" t="s">
        <v>1899</v>
      </c>
      <c r="W76" s="0" t="s">
        <v>1902</v>
      </c>
      <c r="X76" s="0" t="s">
        <v>1899</v>
      </c>
      <c r="Y76" s="0" t="s">
        <v>1899</v>
      </c>
      <c r="Z76" s="0" t="s">
        <v>1899</v>
      </c>
      <c r="AA76" s="0" t="s">
        <v>1899</v>
      </c>
      <c r="AB76" s="0" t="s">
        <v>1903</v>
      </c>
      <c r="AC76" s="0" t="s">
        <v>1899</v>
      </c>
      <c r="AD76" s="0" t="s">
        <v>1899</v>
      </c>
      <c r="AE76" s="0" t="s">
        <v>1899</v>
      </c>
      <c r="AF76" s="0" t="s">
        <v>1899</v>
      </c>
      <c r="AG76" s="0" t="s">
        <v>1899</v>
      </c>
      <c r="AH76" s="0" t="s">
        <v>1899</v>
      </c>
      <c r="AI76" s="0" t="s">
        <v>1899</v>
      </c>
      <c r="AJ76" s="0" t="s">
        <v>1899</v>
      </c>
      <c r="AK76" s="0" t="s">
        <v>1899</v>
      </c>
      <c r="AL76" s="0" t="s">
        <v>1904</v>
      </c>
      <c r="AM76" s="0" t="s">
        <v>1900</v>
      </c>
      <c r="AN76" s="0" t="s">
        <v>1899</v>
      </c>
      <c r="AO76" s="0" t="s">
        <v>1899</v>
      </c>
      <c r="AP76" s="0" t="s">
        <v>1905</v>
      </c>
    </row>
    <row r="77" customFormat="false" ht="12.75" hidden="false" customHeight="false" outlineLevel="0" collapsed="false">
      <c r="A77" s="0" t="s">
        <v>1906</v>
      </c>
      <c r="B77" s="0" t="s">
        <v>1906</v>
      </c>
      <c r="C77" s="0" t="s">
        <v>1906</v>
      </c>
      <c r="D77" s="0" t="s">
        <v>1906</v>
      </c>
      <c r="E77" s="0" t="s">
        <v>1906</v>
      </c>
      <c r="F77" s="0" t="s">
        <v>1906</v>
      </c>
      <c r="G77" s="0" t="s">
        <v>1906</v>
      </c>
      <c r="H77" s="0" t="s">
        <v>1906</v>
      </c>
      <c r="I77" s="0" t="s">
        <v>1906</v>
      </c>
      <c r="J77" s="0" t="s">
        <v>1906</v>
      </c>
      <c r="K77" s="0" t="s">
        <v>1906</v>
      </c>
      <c r="L77" s="0" t="s">
        <v>1906</v>
      </c>
      <c r="M77" s="0" t="s">
        <v>1907</v>
      </c>
      <c r="N77" s="0" t="s">
        <v>1906</v>
      </c>
      <c r="O77" s="0" t="s">
        <v>1906</v>
      </c>
      <c r="P77" s="0" t="s">
        <v>1906</v>
      </c>
      <c r="Q77" s="0" t="s">
        <v>1908</v>
      </c>
      <c r="R77" s="0" t="s">
        <v>1906</v>
      </c>
      <c r="S77" s="0" t="s">
        <v>1906</v>
      </c>
      <c r="T77" s="0" t="s">
        <v>1906</v>
      </c>
      <c r="U77" s="0" t="s">
        <v>1906</v>
      </c>
      <c r="V77" s="0" t="s">
        <v>1906</v>
      </c>
      <c r="W77" s="0" t="s">
        <v>1909</v>
      </c>
      <c r="X77" s="0" t="s">
        <v>1906</v>
      </c>
      <c r="Y77" s="0" t="s">
        <v>1906</v>
      </c>
      <c r="Z77" s="0" t="s">
        <v>1906</v>
      </c>
      <c r="AA77" s="0" t="s">
        <v>1906</v>
      </c>
      <c r="AB77" s="0" t="s">
        <v>1910</v>
      </c>
      <c r="AC77" s="0" t="s">
        <v>1906</v>
      </c>
      <c r="AD77" s="0" t="s">
        <v>1906</v>
      </c>
      <c r="AE77" s="0" t="s">
        <v>1906</v>
      </c>
      <c r="AF77" s="0" t="s">
        <v>1906</v>
      </c>
      <c r="AG77" s="0" t="s">
        <v>1906</v>
      </c>
      <c r="AH77" s="0" t="s">
        <v>1906</v>
      </c>
      <c r="AI77" s="0" t="s">
        <v>1906</v>
      </c>
      <c r="AJ77" s="0" t="s">
        <v>1906</v>
      </c>
      <c r="AK77" s="0" t="s">
        <v>1906</v>
      </c>
      <c r="AL77" s="0" t="s">
        <v>1911</v>
      </c>
      <c r="AM77" s="0" t="s">
        <v>1907</v>
      </c>
      <c r="AN77" s="0" t="s">
        <v>1906</v>
      </c>
      <c r="AO77" s="0" t="s">
        <v>1906</v>
      </c>
      <c r="AP77" s="0" t="s">
        <v>1912</v>
      </c>
    </row>
    <row r="78" customFormat="false" ht="12.75" hidden="false" customHeight="false" outlineLevel="0" collapsed="false">
      <c r="A78" s="0" t="s">
        <v>1913</v>
      </c>
      <c r="B78" s="0" t="s">
        <v>1913</v>
      </c>
      <c r="C78" s="0" t="s">
        <v>1913</v>
      </c>
      <c r="D78" s="0" t="s">
        <v>1913</v>
      </c>
      <c r="E78" s="0" t="s">
        <v>1913</v>
      </c>
      <c r="F78" s="0" t="s">
        <v>1913</v>
      </c>
      <c r="G78" s="0" t="s">
        <v>1913</v>
      </c>
      <c r="H78" s="0" t="s">
        <v>1913</v>
      </c>
      <c r="I78" s="0" t="s">
        <v>1913</v>
      </c>
      <c r="J78" s="0" t="s">
        <v>1913</v>
      </c>
      <c r="K78" s="0" t="s">
        <v>1913</v>
      </c>
      <c r="L78" s="0" t="s">
        <v>1913</v>
      </c>
      <c r="M78" s="0" t="s">
        <v>1914</v>
      </c>
      <c r="N78" s="0" t="s">
        <v>1913</v>
      </c>
      <c r="O78" s="0" t="s">
        <v>1913</v>
      </c>
      <c r="P78" s="0" t="s">
        <v>1913</v>
      </c>
      <c r="Q78" s="0" t="s">
        <v>1915</v>
      </c>
      <c r="R78" s="0" t="s">
        <v>1913</v>
      </c>
      <c r="S78" s="0" t="s">
        <v>1913</v>
      </c>
      <c r="T78" s="0" t="s">
        <v>1913</v>
      </c>
      <c r="U78" s="0" t="s">
        <v>1913</v>
      </c>
      <c r="V78" s="0" t="s">
        <v>1913</v>
      </c>
      <c r="W78" s="0" t="s">
        <v>1916</v>
      </c>
      <c r="X78" s="0" t="s">
        <v>1913</v>
      </c>
      <c r="Y78" s="0" t="s">
        <v>1913</v>
      </c>
      <c r="Z78" s="0" t="s">
        <v>1913</v>
      </c>
      <c r="AA78" s="0" t="s">
        <v>1913</v>
      </c>
      <c r="AB78" s="0" t="s">
        <v>1917</v>
      </c>
      <c r="AC78" s="0" t="s">
        <v>1913</v>
      </c>
      <c r="AD78" s="0" t="s">
        <v>1913</v>
      </c>
      <c r="AE78" s="0" t="s">
        <v>1913</v>
      </c>
      <c r="AF78" s="0" t="s">
        <v>1913</v>
      </c>
      <c r="AG78" s="0" t="s">
        <v>1913</v>
      </c>
      <c r="AH78" s="0" t="s">
        <v>1913</v>
      </c>
      <c r="AI78" s="0" t="s">
        <v>1913</v>
      </c>
      <c r="AJ78" s="0" t="s">
        <v>1913</v>
      </c>
      <c r="AK78" s="0" t="s">
        <v>1913</v>
      </c>
      <c r="AL78" s="0" t="s">
        <v>1918</v>
      </c>
      <c r="AM78" s="0" t="s">
        <v>1914</v>
      </c>
      <c r="AN78" s="0" t="s">
        <v>1913</v>
      </c>
      <c r="AO78" s="0" t="s">
        <v>1913</v>
      </c>
      <c r="AP78" s="0" t="s">
        <v>1919</v>
      </c>
    </row>
    <row r="79" customFormat="false" ht="12.75" hidden="false" customHeight="false" outlineLevel="0" collapsed="false">
      <c r="A79" s="0" t="s">
        <v>1920</v>
      </c>
      <c r="B79" s="0" t="s">
        <v>1920</v>
      </c>
      <c r="C79" s="0" t="s">
        <v>1920</v>
      </c>
      <c r="D79" s="0" t="s">
        <v>1920</v>
      </c>
      <c r="E79" s="0" t="s">
        <v>1920</v>
      </c>
      <c r="F79" s="0" t="s">
        <v>1920</v>
      </c>
      <c r="G79" s="0" t="s">
        <v>1920</v>
      </c>
      <c r="H79" s="0" t="s">
        <v>1920</v>
      </c>
      <c r="I79" s="0" t="s">
        <v>1920</v>
      </c>
      <c r="J79" s="0" t="s">
        <v>1920</v>
      </c>
      <c r="K79" s="0" t="s">
        <v>1920</v>
      </c>
      <c r="L79" s="0" t="s">
        <v>1920</v>
      </c>
      <c r="M79" s="0" t="s">
        <v>1921</v>
      </c>
      <c r="N79" s="0" t="s">
        <v>1920</v>
      </c>
      <c r="O79" s="0" t="s">
        <v>1920</v>
      </c>
      <c r="P79" s="0" t="s">
        <v>1920</v>
      </c>
      <c r="Q79" s="0" t="s">
        <v>1922</v>
      </c>
      <c r="R79" s="0" t="s">
        <v>1920</v>
      </c>
      <c r="S79" s="0" t="s">
        <v>1920</v>
      </c>
      <c r="T79" s="0" t="s">
        <v>1920</v>
      </c>
      <c r="U79" s="0" t="s">
        <v>1920</v>
      </c>
      <c r="V79" s="0" t="s">
        <v>1920</v>
      </c>
      <c r="W79" s="0" t="s">
        <v>1923</v>
      </c>
      <c r="X79" s="0" t="s">
        <v>1920</v>
      </c>
      <c r="Y79" s="0" t="s">
        <v>1920</v>
      </c>
      <c r="Z79" s="0" t="s">
        <v>1920</v>
      </c>
      <c r="AA79" s="0" t="s">
        <v>1920</v>
      </c>
      <c r="AB79" s="0" t="s">
        <v>1924</v>
      </c>
      <c r="AC79" s="0" t="s">
        <v>1920</v>
      </c>
      <c r="AD79" s="0" t="s">
        <v>1920</v>
      </c>
      <c r="AE79" s="0" t="s">
        <v>1920</v>
      </c>
      <c r="AF79" s="0" t="s">
        <v>1920</v>
      </c>
      <c r="AG79" s="0" t="s">
        <v>1920</v>
      </c>
      <c r="AH79" s="0" t="s">
        <v>1920</v>
      </c>
      <c r="AI79" s="0" t="s">
        <v>1920</v>
      </c>
      <c r="AJ79" s="0" t="s">
        <v>1920</v>
      </c>
      <c r="AK79" s="0" t="s">
        <v>1920</v>
      </c>
      <c r="AL79" s="0" t="s">
        <v>1925</v>
      </c>
      <c r="AM79" s="0" t="s">
        <v>1921</v>
      </c>
      <c r="AN79" s="0" t="s">
        <v>1920</v>
      </c>
      <c r="AO79" s="0" t="s">
        <v>1920</v>
      </c>
      <c r="AP79" s="0" t="s">
        <v>1926</v>
      </c>
    </row>
    <row r="80" customFormat="false" ht="12.75" hidden="false" customHeight="false" outlineLevel="0" collapsed="false">
      <c r="A80" s="0" t="s">
        <v>1927</v>
      </c>
      <c r="B80" s="0" t="s">
        <v>1927</v>
      </c>
      <c r="C80" s="0" t="s">
        <v>1927</v>
      </c>
      <c r="D80" s="0" t="s">
        <v>1927</v>
      </c>
      <c r="E80" s="0" t="s">
        <v>1927</v>
      </c>
      <c r="F80" s="0" t="s">
        <v>1927</v>
      </c>
      <c r="G80" s="0" t="s">
        <v>1927</v>
      </c>
      <c r="H80" s="0" t="s">
        <v>1927</v>
      </c>
      <c r="I80" s="0" t="s">
        <v>1927</v>
      </c>
      <c r="J80" s="0" t="s">
        <v>1927</v>
      </c>
      <c r="K80" s="0" t="s">
        <v>1927</v>
      </c>
      <c r="L80" s="0" t="s">
        <v>1927</v>
      </c>
      <c r="M80" s="0" t="s">
        <v>1928</v>
      </c>
      <c r="N80" s="0" t="s">
        <v>1927</v>
      </c>
      <c r="O80" s="0" t="s">
        <v>1927</v>
      </c>
      <c r="P80" s="0" t="s">
        <v>1927</v>
      </c>
      <c r="Q80" s="0" t="s">
        <v>1929</v>
      </c>
      <c r="R80" s="0" t="s">
        <v>1927</v>
      </c>
      <c r="S80" s="0" t="s">
        <v>1927</v>
      </c>
      <c r="T80" s="0" t="s">
        <v>1927</v>
      </c>
      <c r="U80" s="0" t="s">
        <v>1927</v>
      </c>
      <c r="V80" s="0" t="s">
        <v>1927</v>
      </c>
      <c r="W80" s="0" t="s">
        <v>1930</v>
      </c>
      <c r="X80" s="0" t="s">
        <v>1927</v>
      </c>
      <c r="Y80" s="0" t="s">
        <v>1927</v>
      </c>
      <c r="Z80" s="0" t="s">
        <v>1927</v>
      </c>
      <c r="AA80" s="0" t="s">
        <v>1927</v>
      </c>
      <c r="AB80" s="0" t="s">
        <v>1931</v>
      </c>
      <c r="AC80" s="0" t="s">
        <v>1927</v>
      </c>
      <c r="AD80" s="0" t="s">
        <v>1927</v>
      </c>
      <c r="AE80" s="0" t="s">
        <v>1927</v>
      </c>
      <c r="AF80" s="0" t="s">
        <v>1927</v>
      </c>
      <c r="AG80" s="0" t="s">
        <v>1927</v>
      </c>
      <c r="AH80" s="0" t="s">
        <v>1927</v>
      </c>
      <c r="AI80" s="0" t="s">
        <v>1927</v>
      </c>
      <c r="AJ80" s="0" t="s">
        <v>1927</v>
      </c>
      <c r="AK80" s="0" t="s">
        <v>1927</v>
      </c>
      <c r="AL80" s="0" t="s">
        <v>1932</v>
      </c>
      <c r="AM80" s="0" t="s">
        <v>1928</v>
      </c>
      <c r="AN80" s="0" t="s">
        <v>1927</v>
      </c>
      <c r="AO80" s="0" t="s">
        <v>1927</v>
      </c>
      <c r="AP80" s="0" t="s">
        <v>1933</v>
      </c>
    </row>
    <row r="81" customFormat="false" ht="12.75" hidden="false" customHeight="false" outlineLevel="0" collapsed="false">
      <c r="A81" s="0" t="s">
        <v>1934</v>
      </c>
      <c r="B81" s="0" t="s">
        <v>1934</v>
      </c>
      <c r="C81" s="0" t="s">
        <v>1934</v>
      </c>
      <c r="D81" s="0" t="s">
        <v>1934</v>
      </c>
      <c r="E81" s="0" t="s">
        <v>1934</v>
      </c>
      <c r="F81" s="0" t="s">
        <v>1934</v>
      </c>
      <c r="G81" s="0" t="s">
        <v>1934</v>
      </c>
      <c r="H81" s="0" t="s">
        <v>1934</v>
      </c>
      <c r="I81" s="0" t="s">
        <v>1934</v>
      </c>
      <c r="J81" s="0" t="s">
        <v>1934</v>
      </c>
      <c r="K81" s="0" t="s">
        <v>1934</v>
      </c>
      <c r="L81" s="0" t="s">
        <v>1934</v>
      </c>
      <c r="M81" s="0" t="s">
        <v>1935</v>
      </c>
      <c r="N81" s="0" t="s">
        <v>1934</v>
      </c>
      <c r="O81" s="0" t="s">
        <v>1934</v>
      </c>
      <c r="P81" s="0" t="s">
        <v>1934</v>
      </c>
      <c r="Q81" s="0" t="s">
        <v>1936</v>
      </c>
      <c r="R81" s="0" t="s">
        <v>1934</v>
      </c>
      <c r="S81" s="0" t="s">
        <v>1934</v>
      </c>
      <c r="T81" s="0" t="s">
        <v>1934</v>
      </c>
      <c r="U81" s="0" t="s">
        <v>1934</v>
      </c>
      <c r="V81" s="0" t="s">
        <v>1934</v>
      </c>
      <c r="W81" s="0" t="s">
        <v>1937</v>
      </c>
      <c r="X81" s="0" t="s">
        <v>1934</v>
      </c>
      <c r="Y81" s="0" t="s">
        <v>1934</v>
      </c>
      <c r="Z81" s="0" t="s">
        <v>1934</v>
      </c>
      <c r="AA81" s="0" t="s">
        <v>1934</v>
      </c>
      <c r="AB81" s="0" t="s">
        <v>1938</v>
      </c>
      <c r="AC81" s="0" t="s">
        <v>1934</v>
      </c>
      <c r="AD81" s="0" t="s">
        <v>1934</v>
      </c>
      <c r="AE81" s="0" t="s">
        <v>1934</v>
      </c>
      <c r="AF81" s="0" t="s">
        <v>1934</v>
      </c>
      <c r="AG81" s="0" t="s">
        <v>1934</v>
      </c>
      <c r="AH81" s="0" t="s">
        <v>1934</v>
      </c>
      <c r="AI81" s="0" t="s">
        <v>1934</v>
      </c>
      <c r="AJ81" s="0" t="s">
        <v>1934</v>
      </c>
      <c r="AK81" s="0" t="s">
        <v>1934</v>
      </c>
      <c r="AL81" s="0" t="s">
        <v>1939</v>
      </c>
      <c r="AM81" s="0" t="s">
        <v>1935</v>
      </c>
      <c r="AN81" s="0" t="s">
        <v>1934</v>
      </c>
      <c r="AO81" s="0" t="s">
        <v>1934</v>
      </c>
      <c r="AP81" s="0" t="s">
        <v>1940</v>
      </c>
    </row>
    <row r="82" customFormat="false" ht="12.75" hidden="false" customHeight="false" outlineLevel="0" collapsed="false">
      <c r="A82" s="0" t="s">
        <v>1941</v>
      </c>
      <c r="B82" s="0" t="s">
        <v>1941</v>
      </c>
      <c r="C82" s="0" t="s">
        <v>1941</v>
      </c>
      <c r="D82" s="0" t="s">
        <v>1941</v>
      </c>
      <c r="E82" s="0" t="s">
        <v>1941</v>
      </c>
      <c r="F82" s="0" t="s">
        <v>1941</v>
      </c>
      <c r="G82" s="0" t="s">
        <v>1941</v>
      </c>
      <c r="H82" s="0" t="s">
        <v>1941</v>
      </c>
      <c r="I82" s="0" t="s">
        <v>1941</v>
      </c>
      <c r="J82" s="0" t="s">
        <v>1941</v>
      </c>
      <c r="K82" s="0" t="s">
        <v>1941</v>
      </c>
      <c r="L82" s="0" t="s">
        <v>1941</v>
      </c>
      <c r="M82" s="0" t="s">
        <v>1942</v>
      </c>
      <c r="N82" s="0" t="s">
        <v>1941</v>
      </c>
      <c r="O82" s="0" t="s">
        <v>1941</v>
      </c>
      <c r="P82" s="0" t="s">
        <v>1941</v>
      </c>
      <c r="Q82" s="0" t="s">
        <v>1943</v>
      </c>
      <c r="R82" s="0" t="s">
        <v>1941</v>
      </c>
      <c r="S82" s="0" t="s">
        <v>1941</v>
      </c>
      <c r="T82" s="0" t="s">
        <v>1941</v>
      </c>
      <c r="U82" s="0" t="s">
        <v>1941</v>
      </c>
      <c r="V82" s="0" t="s">
        <v>1941</v>
      </c>
      <c r="W82" s="0" t="s">
        <v>1944</v>
      </c>
      <c r="X82" s="0" t="s">
        <v>1941</v>
      </c>
      <c r="Y82" s="0" t="s">
        <v>1941</v>
      </c>
      <c r="Z82" s="0" t="s">
        <v>1945</v>
      </c>
      <c r="AA82" s="0" t="s">
        <v>1941</v>
      </c>
      <c r="AB82" s="0" t="s">
        <v>1946</v>
      </c>
      <c r="AC82" s="0" t="s">
        <v>1941</v>
      </c>
      <c r="AD82" s="0" t="s">
        <v>1941</v>
      </c>
      <c r="AE82" s="0" t="s">
        <v>1941</v>
      </c>
      <c r="AF82" s="0" t="s">
        <v>1941</v>
      </c>
      <c r="AG82" s="0" t="s">
        <v>1941</v>
      </c>
      <c r="AH82" s="0" t="s">
        <v>1941</v>
      </c>
      <c r="AI82" s="0" t="s">
        <v>1941</v>
      </c>
      <c r="AJ82" s="0" t="s">
        <v>1941</v>
      </c>
      <c r="AK82" s="0" t="s">
        <v>1941</v>
      </c>
      <c r="AL82" s="0" t="s">
        <v>1947</v>
      </c>
      <c r="AM82" s="0" t="s">
        <v>1942</v>
      </c>
      <c r="AN82" s="0" t="s">
        <v>1941</v>
      </c>
      <c r="AO82" s="0" t="s">
        <v>1941</v>
      </c>
      <c r="AP82" s="0" t="s">
        <v>1948</v>
      </c>
    </row>
    <row r="83" customFormat="false" ht="12.75" hidden="false" customHeight="false" outlineLevel="0" collapsed="false">
      <c r="A83" s="0" t="s">
        <v>1949</v>
      </c>
      <c r="B83" s="0" t="s">
        <v>1949</v>
      </c>
      <c r="C83" s="0" t="s">
        <v>1949</v>
      </c>
      <c r="D83" s="0" t="s">
        <v>1949</v>
      </c>
      <c r="E83" s="0" t="s">
        <v>1949</v>
      </c>
      <c r="F83" s="0" t="s">
        <v>1949</v>
      </c>
      <c r="G83" s="0" t="s">
        <v>1949</v>
      </c>
      <c r="H83" s="0" t="s">
        <v>1949</v>
      </c>
      <c r="I83" s="0" t="s">
        <v>1949</v>
      </c>
      <c r="J83" s="0" t="s">
        <v>1949</v>
      </c>
      <c r="K83" s="0" t="s">
        <v>1949</v>
      </c>
      <c r="L83" s="0" t="s">
        <v>1949</v>
      </c>
      <c r="M83" s="0" t="s">
        <v>1950</v>
      </c>
      <c r="N83" s="0" t="s">
        <v>1949</v>
      </c>
      <c r="O83" s="0" t="s">
        <v>1949</v>
      </c>
      <c r="P83" s="0" t="s">
        <v>1949</v>
      </c>
      <c r="Q83" s="0" t="s">
        <v>1951</v>
      </c>
      <c r="R83" s="0" t="s">
        <v>1949</v>
      </c>
      <c r="S83" s="0" t="s">
        <v>1949</v>
      </c>
      <c r="T83" s="0" t="s">
        <v>1949</v>
      </c>
      <c r="U83" s="0" t="s">
        <v>1949</v>
      </c>
      <c r="V83" s="0" t="s">
        <v>1949</v>
      </c>
      <c r="W83" s="0" t="s">
        <v>1952</v>
      </c>
      <c r="X83" s="0" t="s">
        <v>1949</v>
      </c>
      <c r="Y83" s="0" t="s">
        <v>1949</v>
      </c>
      <c r="Z83" s="0" t="s">
        <v>1953</v>
      </c>
      <c r="AA83" s="0" t="s">
        <v>1949</v>
      </c>
      <c r="AB83" s="0" t="s">
        <v>1954</v>
      </c>
      <c r="AC83" s="0" t="s">
        <v>1949</v>
      </c>
      <c r="AD83" s="0" t="s">
        <v>1949</v>
      </c>
      <c r="AE83" s="0" t="s">
        <v>1949</v>
      </c>
      <c r="AF83" s="0" t="s">
        <v>1949</v>
      </c>
      <c r="AG83" s="0" t="s">
        <v>1949</v>
      </c>
      <c r="AH83" s="0" t="s">
        <v>1949</v>
      </c>
      <c r="AI83" s="0" t="s">
        <v>1949</v>
      </c>
      <c r="AJ83" s="0" t="s">
        <v>1949</v>
      </c>
      <c r="AK83" s="0" t="s">
        <v>1949</v>
      </c>
      <c r="AL83" s="0" t="s">
        <v>1955</v>
      </c>
      <c r="AM83" s="0" t="s">
        <v>1950</v>
      </c>
      <c r="AN83" s="0" t="s">
        <v>1949</v>
      </c>
      <c r="AO83" s="0" t="s">
        <v>1949</v>
      </c>
      <c r="AP83" s="0" t="s">
        <v>1956</v>
      </c>
    </row>
    <row r="84" customFormat="false" ht="12.75" hidden="false" customHeight="false" outlineLevel="0" collapsed="false">
      <c r="A84" s="0" t="s">
        <v>1957</v>
      </c>
      <c r="B84" s="0" t="s">
        <v>1957</v>
      </c>
      <c r="C84" s="0" t="s">
        <v>1957</v>
      </c>
      <c r="D84" s="0" t="s">
        <v>1957</v>
      </c>
      <c r="E84" s="0" t="s">
        <v>1957</v>
      </c>
      <c r="F84" s="0" t="s">
        <v>1957</v>
      </c>
      <c r="G84" s="0" t="s">
        <v>1957</v>
      </c>
      <c r="H84" s="0" t="s">
        <v>1957</v>
      </c>
      <c r="I84" s="0" t="s">
        <v>1957</v>
      </c>
      <c r="J84" s="0" t="s">
        <v>1957</v>
      </c>
      <c r="K84" s="0" t="s">
        <v>1957</v>
      </c>
      <c r="L84" s="0" t="s">
        <v>1957</v>
      </c>
      <c r="M84" s="0" t="s">
        <v>1958</v>
      </c>
      <c r="N84" s="0" t="s">
        <v>1957</v>
      </c>
      <c r="O84" s="0" t="s">
        <v>1957</v>
      </c>
      <c r="P84" s="0" t="s">
        <v>1957</v>
      </c>
      <c r="Q84" s="0" t="s">
        <v>1957</v>
      </c>
      <c r="R84" s="0" t="s">
        <v>1957</v>
      </c>
      <c r="S84" s="0" t="s">
        <v>1957</v>
      </c>
      <c r="T84" s="0" t="s">
        <v>1957</v>
      </c>
      <c r="U84" s="0" t="s">
        <v>1957</v>
      </c>
      <c r="V84" s="0" t="s">
        <v>1957</v>
      </c>
      <c r="W84" s="0" t="s">
        <v>1959</v>
      </c>
      <c r="X84" s="0" t="s">
        <v>1957</v>
      </c>
      <c r="Y84" s="0" t="s">
        <v>1957</v>
      </c>
      <c r="Z84" s="0" t="s">
        <v>1960</v>
      </c>
      <c r="AA84" s="0" t="s">
        <v>1957</v>
      </c>
      <c r="AB84" s="0" t="s">
        <v>1961</v>
      </c>
      <c r="AC84" s="0" t="s">
        <v>1957</v>
      </c>
      <c r="AD84" s="0" t="s">
        <v>1957</v>
      </c>
      <c r="AE84" s="0" t="s">
        <v>1957</v>
      </c>
      <c r="AF84" s="0" t="s">
        <v>1957</v>
      </c>
      <c r="AG84" s="0" t="s">
        <v>1957</v>
      </c>
      <c r="AH84" s="0" t="s">
        <v>1957</v>
      </c>
      <c r="AI84" s="0" t="s">
        <v>1957</v>
      </c>
      <c r="AJ84" s="0" t="s">
        <v>1957</v>
      </c>
      <c r="AK84" s="0" t="s">
        <v>1957</v>
      </c>
      <c r="AL84" s="0" t="s">
        <v>1962</v>
      </c>
      <c r="AM84" s="0" t="s">
        <v>1958</v>
      </c>
      <c r="AN84" s="0" t="s">
        <v>1957</v>
      </c>
      <c r="AO84" s="0" t="s">
        <v>1957</v>
      </c>
      <c r="AP84" s="0" t="s">
        <v>1963</v>
      </c>
    </row>
    <row r="85" customFormat="false" ht="12.75" hidden="false" customHeight="false" outlineLevel="0" collapsed="false">
      <c r="A85" s="0" t="s">
        <v>1964</v>
      </c>
      <c r="B85" s="0" t="s">
        <v>1964</v>
      </c>
      <c r="C85" s="0" t="s">
        <v>1964</v>
      </c>
      <c r="D85" s="0" t="s">
        <v>1964</v>
      </c>
      <c r="E85" s="0" t="s">
        <v>1964</v>
      </c>
      <c r="F85" s="0" t="s">
        <v>1964</v>
      </c>
      <c r="G85" s="0" t="s">
        <v>1964</v>
      </c>
      <c r="H85" s="0" t="s">
        <v>1964</v>
      </c>
      <c r="I85" s="0" t="s">
        <v>1964</v>
      </c>
      <c r="J85" s="0" t="s">
        <v>1964</v>
      </c>
      <c r="K85" s="0" t="s">
        <v>1964</v>
      </c>
      <c r="L85" s="0" t="s">
        <v>1964</v>
      </c>
      <c r="M85" s="0" t="s">
        <v>1965</v>
      </c>
      <c r="N85" s="0" t="s">
        <v>1964</v>
      </c>
      <c r="O85" s="0" t="s">
        <v>1964</v>
      </c>
      <c r="P85" s="0" t="s">
        <v>1964</v>
      </c>
      <c r="Q85" s="0" t="s">
        <v>1964</v>
      </c>
      <c r="R85" s="0" t="s">
        <v>1964</v>
      </c>
      <c r="S85" s="0" t="s">
        <v>1964</v>
      </c>
      <c r="T85" s="0" t="s">
        <v>1964</v>
      </c>
      <c r="U85" s="0" t="s">
        <v>1964</v>
      </c>
      <c r="V85" s="0" t="s">
        <v>1964</v>
      </c>
      <c r="W85" s="0" t="s">
        <v>1966</v>
      </c>
      <c r="X85" s="0" t="s">
        <v>1964</v>
      </c>
      <c r="Y85" s="0" t="s">
        <v>1964</v>
      </c>
      <c r="Z85" s="0" t="s">
        <v>1960</v>
      </c>
      <c r="AA85" s="0" t="s">
        <v>1964</v>
      </c>
      <c r="AB85" s="0" t="s">
        <v>1967</v>
      </c>
      <c r="AC85" s="0" t="s">
        <v>1964</v>
      </c>
      <c r="AD85" s="0" t="s">
        <v>1964</v>
      </c>
      <c r="AE85" s="0" t="s">
        <v>1964</v>
      </c>
      <c r="AF85" s="0" t="s">
        <v>1964</v>
      </c>
      <c r="AG85" s="0" t="s">
        <v>1964</v>
      </c>
      <c r="AH85" s="0" t="s">
        <v>1964</v>
      </c>
      <c r="AI85" s="0" t="s">
        <v>1964</v>
      </c>
      <c r="AJ85" s="0" t="s">
        <v>1964</v>
      </c>
      <c r="AK85" s="0" t="s">
        <v>1964</v>
      </c>
      <c r="AL85" s="0" t="s">
        <v>1968</v>
      </c>
      <c r="AM85" s="0" t="s">
        <v>1965</v>
      </c>
      <c r="AN85" s="0" t="s">
        <v>1964</v>
      </c>
      <c r="AO85" s="0" t="s">
        <v>1964</v>
      </c>
      <c r="AP85" s="0" t="s">
        <v>1969</v>
      </c>
    </row>
    <row r="86" customFormat="false" ht="12.75" hidden="false" customHeight="false" outlineLevel="0" collapsed="false">
      <c r="A86" s="0" t="s">
        <v>1970</v>
      </c>
      <c r="B86" s="0" t="s">
        <v>1971</v>
      </c>
      <c r="C86" s="0" t="s">
        <v>1970</v>
      </c>
      <c r="D86" s="0" t="s">
        <v>1970</v>
      </c>
      <c r="E86" s="0" t="s">
        <v>1972</v>
      </c>
      <c r="F86" s="0" t="s">
        <v>1970</v>
      </c>
      <c r="G86" s="0" t="s">
        <v>1973</v>
      </c>
      <c r="H86" s="0" t="s">
        <v>1974</v>
      </c>
      <c r="I86" s="0" t="s">
        <v>1970</v>
      </c>
      <c r="J86" s="0" t="s">
        <v>1970</v>
      </c>
      <c r="K86" s="0" t="s">
        <v>1975</v>
      </c>
      <c r="L86" s="0" t="s">
        <v>1975</v>
      </c>
      <c r="M86" s="0" t="s">
        <v>1970</v>
      </c>
      <c r="N86" s="0" t="s">
        <v>1970</v>
      </c>
      <c r="O86" s="0" t="s">
        <v>1976</v>
      </c>
      <c r="P86" s="0" t="s">
        <v>1970</v>
      </c>
      <c r="Q86" s="0" t="s">
        <v>1977</v>
      </c>
      <c r="R86" s="0" t="s">
        <v>1970</v>
      </c>
      <c r="S86" s="0" t="s">
        <v>1978</v>
      </c>
      <c r="T86" s="0" t="s">
        <v>1970</v>
      </c>
      <c r="U86" s="0" t="s">
        <v>1970</v>
      </c>
      <c r="V86" s="0" t="s">
        <v>1970</v>
      </c>
      <c r="W86" s="0" t="s">
        <v>1979</v>
      </c>
      <c r="X86" s="0" t="s">
        <v>1980</v>
      </c>
      <c r="Y86" s="0" t="s">
        <v>1981</v>
      </c>
      <c r="Z86" s="0" t="s">
        <v>1982</v>
      </c>
      <c r="AA86" s="0" t="s">
        <v>1975</v>
      </c>
      <c r="AB86" s="0" t="s">
        <v>1983</v>
      </c>
      <c r="AC86" s="0" t="s">
        <v>1970</v>
      </c>
      <c r="AD86" s="0" t="s">
        <v>1970</v>
      </c>
      <c r="AE86" s="0" t="s">
        <v>1984</v>
      </c>
      <c r="AF86" s="0" t="s">
        <v>1970</v>
      </c>
      <c r="AG86" s="0" t="s">
        <v>1985</v>
      </c>
      <c r="AH86" s="0" t="s">
        <v>1975</v>
      </c>
      <c r="AI86" s="0" t="s">
        <v>1970</v>
      </c>
      <c r="AJ86" s="0" t="s">
        <v>1970</v>
      </c>
      <c r="AK86" s="0" t="s">
        <v>1970</v>
      </c>
      <c r="AL86" s="0" t="s">
        <v>1986</v>
      </c>
      <c r="AM86" s="0" t="s">
        <v>1973</v>
      </c>
      <c r="AN86" s="0" t="s">
        <v>1987</v>
      </c>
      <c r="AO86" s="0" t="s">
        <v>1988</v>
      </c>
      <c r="AP86" s="0" t="s">
        <v>1989</v>
      </c>
    </row>
    <row r="87" customFormat="false" ht="12.75" hidden="false" customHeight="false" outlineLevel="0" collapsed="false">
      <c r="A87" s="0" t="s">
        <v>1990</v>
      </c>
      <c r="B87" s="0" t="s">
        <v>1991</v>
      </c>
      <c r="C87" s="0" t="s">
        <v>1990</v>
      </c>
      <c r="D87" s="0" t="s">
        <v>1990</v>
      </c>
      <c r="E87" s="0" t="s">
        <v>1992</v>
      </c>
      <c r="F87" s="0" t="s">
        <v>1990</v>
      </c>
      <c r="G87" s="0" t="s">
        <v>1993</v>
      </c>
      <c r="H87" s="0" t="s">
        <v>1994</v>
      </c>
      <c r="I87" s="0" t="s">
        <v>1990</v>
      </c>
      <c r="J87" s="0" t="s">
        <v>1990</v>
      </c>
      <c r="K87" s="0" t="s">
        <v>1995</v>
      </c>
      <c r="L87" s="0" t="s">
        <v>1995</v>
      </c>
      <c r="M87" s="0" t="s">
        <v>1990</v>
      </c>
      <c r="N87" s="0" t="s">
        <v>1990</v>
      </c>
      <c r="O87" s="0" t="s">
        <v>1996</v>
      </c>
      <c r="P87" s="0" t="s">
        <v>1990</v>
      </c>
      <c r="Q87" s="0" t="s">
        <v>1997</v>
      </c>
      <c r="R87" s="0" t="s">
        <v>1990</v>
      </c>
      <c r="S87" s="0" t="s">
        <v>1998</v>
      </c>
      <c r="T87" s="0" t="s">
        <v>1990</v>
      </c>
      <c r="U87" s="0" t="s">
        <v>1990</v>
      </c>
      <c r="V87" s="0" t="s">
        <v>1990</v>
      </c>
      <c r="W87" s="0" t="s">
        <v>1999</v>
      </c>
      <c r="X87" s="0" t="s">
        <v>2000</v>
      </c>
      <c r="Y87" s="0" t="s">
        <v>2001</v>
      </c>
      <c r="Z87" s="0" t="s">
        <v>2002</v>
      </c>
      <c r="AA87" s="0" t="s">
        <v>1995</v>
      </c>
      <c r="AB87" s="0" t="s">
        <v>2003</v>
      </c>
      <c r="AC87" s="0" t="s">
        <v>1990</v>
      </c>
      <c r="AD87" s="0" t="s">
        <v>1990</v>
      </c>
      <c r="AE87" s="0" t="s">
        <v>2004</v>
      </c>
      <c r="AF87" s="0" t="s">
        <v>1990</v>
      </c>
      <c r="AG87" s="0" t="s">
        <v>2005</v>
      </c>
      <c r="AH87" s="0" t="s">
        <v>1995</v>
      </c>
      <c r="AI87" s="0" t="s">
        <v>1990</v>
      </c>
      <c r="AJ87" s="0" t="s">
        <v>1990</v>
      </c>
      <c r="AK87" s="0" t="s">
        <v>1990</v>
      </c>
      <c r="AL87" s="0" t="s">
        <v>2006</v>
      </c>
      <c r="AM87" s="0" t="s">
        <v>1993</v>
      </c>
      <c r="AN87" s="0" t="s">
        <v>2007</v>
      </c>
      <c r="AO87" s="0" t="s">
        <v>2008</v>
      </c>
      <c r="AP87" s="0" t="s">
        <v>2009</v>
      </c>
    </row>
    <row r="88" customFormat="false" ht="12.75" hidden="false" customHeight="false" outlineLevel="0" collapsed="false">
      <c r="A88" s="0" t="s">
        <v>2010</v>
      </c>
      <c r="B88" s="0" t="s">
        <v>2011</v>
      </c>
      <c r="C88" s="0" t="s">
        <v>2010</v>
      </c>
      <c r="D88" s="0" t="s">
        <v>2010</v>
      </c>
      <c r="E88" s="0" t="s">
        <v>2012</v>
      </c>
      <c r="F88" s="0" t="s">
        <v>2010</v>
      </c>
      <c r="G88" s="0" t="s">
        <v>2013</v>
      </c>
      <c r="H88" s="0" t="s">
        <v>2014</v>
      </c>
      <c r="I88" s="0" t="s">
        <v>2010</v>
      </c>
      <c r="J88" s="0" t="s">
        <v>2010</v>
      </c>
      <c r="K88" s="0" t="s">
        <v>2015</v>
      </c>
      <c r="L88" s="0" t="s">
        <v>2015</v>
      </c>
      <c r="M88" s="0" t="s">
        <v>2010</v>
      </c>
      <c r="N88" s="0" t="s">
        <v>2010</v>
      </c>
      <c r="O88" s="0" t="s">
        <v>2016</v>
      </c>
      <c r="P88" s="0" t="s">
        <v>2010</v>
      </c>
      <c r="Q88" s="0" t="s">
        <v>2017</v>
      </c>
      <c r="R88" s="0" t="s">
        <v>2010</v>
      </c>
      <c r="S88" s="0" t="s">
        <v>2018</v>
      </c>
      <c r="T88" s="0" t="s">
        <v>2010</v>
      </c>
      <c r="U88" s="0" t="s">
        <v>2010</v>
      </c>
      <c r="V88" s="0" t="s">
        <v>2010</v>
      </c>
      <c r="W88" s="0" t="s">
        <v>2019</v>
      </c>
      <c r="X88" s="0" t="s">
        <v>2020</v>
      </c>
      <c r="Y88" s="0" t="s">
        <v>2021</v>
      </c>
      <c r="Z88" s="0" t="s">
        <v>2022</v>
      </c>
      <c r="AA88" s="0" t="s">
        <v>2015</v>
      </c>
      <c r="AB88" s="0" t="s">
        <v>2023</v>
      </c>
      <c r="AC88" s="0" t="s">
        <v>2010</v>
      </c>
      <c r="AD88" s="0" t="s">
        <v>2010</v>
      </c>
      <c r="AE88" s="0" t="s">
        <v>2024</v>
      </c>
      <c r="AF88" s="0" t="s">
        <v>2010</v>
      </c>
      <c r="AG88" s="0" t="s">
        <v>2025</v>
      </c>
      <c r="AH88" s="0" t="s">
        <v>2015</v>
      </c>
      <c r="AI88" s="0" t="s">
        <v>2010</v>
      </c>
      <c r="AJ88" s="0" t="s">
        <v>2010</v>
      </c>
      <c r="AK88" s="0" t="s">
        <v>2010</v>
      </c>
      <c r="AL88" s="0" t="s">
        <v>2026</v>
      </c>
      <c r="AM88" s="0" t="s">
        <v>2013</v>
      </c>
      <c r="AN88" s="0" t="s">
        <v>2027</v>
      </c>
      <c r="AO88" s="0" t="s">
        <v>2028</v>
      </c>
      <c r="AP88" s="0" t="s">
        <v>2029</v>
      </c>
    </row>
    <row r="89" customFormat="false" ht="12.75" hidden="false" customHeight="false" outlineLevel="0" collapsed="false">
      <c r="A89" s="0" t="s">
        <v>2030</v>
      </c>
      <c r="B89" s="0" t="s">
        <v>2031</v>
      </c>
      <c r="C89" s="0" t="s">
        <v>2030</v>
      </c>
      <c r="D89" s="0" t="s">
        <v>2030</v>
      </c>
      <c r="E89" s="0" t="s">
        <v>2032</v>
      </c>
      <c r="F89" s="0" t="s">
        <v>2030</v>
      </c>
      <c r="G89" s="0" t="s">
        <v>2033</v>
      </c>
      <c r="H89" s="0" t="s">
        <v>2034</v>
      </c>
      <c r="I89" s="0" t="s">
        <v>2030</v>
      </c>
      <c r="J89" s="0" t="s">
        <v>2030</v>
      </c>
      <c r="K89" s="0" t="s">
        <v>2035</v>
      </c>
      <c r="L89" s="0" t="s">
        <v>2035</v>
      </c>
      <c r="M89" s="0" t="s">
        <v>2030</v>
      </c>
      <c r="N89" s="0" t="s">
        <v>2030</v>
      </c>
      <c r="O89" s="0" t="s">
        <v>2036</v>
      </c>
      <c r="P89" s="0" t="s">
        <v>2030</v>
      </c>
      <c r="Q89" s="0" t="s">
        <v>2037</v>
      </c>
      <c r="R89" s="0" t="s">
        <v>2030</v>
      </c>
      <c r="S89" s="0" t="s">
        <v>2038</v>
      </c>
      <c r="T89" s="0" t="s">
        <v>2030</v>
      </c>
      <c r="U89" s="0" t="s">
        <v>2030</v>
      </c>
      <c r="V89" s="0" t="s">
        <v>2030</v>
      </c>
      <c r="W89" s="0" t="s">
        <v>2039</v>
      </c>
      <c r="X89" s="0" t="s">
        <v>2040</v>
      </c>
      <c r="Y89" s="0" t="s">
        <v>2041</v>
      </c>
      <c r="Z89" s="0" t="s">
        <v>2042</v>
      </c>
      <c r="AA89" s="0" t="s">
        <v>2035</v>
      </c>
      <c r="AB89" s="0" t="s">
        <v>2043</v>
      </c>
      <c r="AC89" s="0" t="s">
        <v>2030</v>
      </c>
      <c r="AD89" s="0" t="s">
        <v>2030</v>
      </c>
      <c r="AE89" s="0" t="s">
        <v>2044</v>
      </c>
      <c r="AF89" s="0" t="s">
        <v>2030</v>
      </c>
      <c r="AG89" s="0" t="s">
        <v>2045</v>
      </c>
      <c r="AH89" s="0" t="s">
        <v>2035</v>
      </c>
      <c r="AI89" s="0" t="s">
        <v>2030</v>
      </c>
      <c r="AJ89" s="0" t="s">
        <v>2030</v>
      </c>
      <c r="AK89" s="0" t="s">
        <v>2030</v>
      </c>
      <c r="AL89" s="0" t="s">
        <v>2046</v>
      </c>
      <c r="AM89" s="0" t="s">
        <v>2033</v>
      </c>
      <c r="AN89" s="0" t="s">
        <v>2047</v>
      </c>
      <c r="AO89" s="0" t="s">
        <v>2048</v>
      </c>
      <c r="AP89" s="0" t="s">
        <v>2049</v>
      </c>
    </row>
    <row r="90" customFormat="false" ht="12.75" hidden="false" customHeight="false" outlineLevel="0" collapsed="false">
      <c r="A90" s="0" t="s">
        <v>2050</v>
      </c>
      <c r="B90" s="0" t="s">
        <v>2051</v>
      </c>
      <c r="C90" s="0" t="s">
        <v>2050</v>
      </c>
      <c r="D90" s="0" t="s">
        <v>2050</v>
      </c>
      <c r="E90" s="0" t="s">
        <v>2052</v>
      </c>
      <c r="F90" s="0" t="s">
        <v>2050</v>
      </c>
      <c r="G90" s="0" t="s">
        <v>2053</v>
      </c>
      <c r="H90" s="0" t="s">
        <v>2054</v>
      </c>
      <c r="I90" s="0" t="s">
        <v>2050</v>
      </c>
      <c r="J90" s="0" t="s">
        <v>2050</v>
      </c>
      <c r="K90" s="0" t="s">
        <v>2055</v>
      </c>
      <c r="L90" s="0" t="s">
        <v>2055</v>
      </c>
      <c r="M90" s="0" t="s">
        <v>2050</v>
      </c>
      <c r="N90" s="0" t="s">
        <v>2050</v>
      </c>
      <c r="O90" s="0" t="s">
        <v>2056</v>
      </c>
      <c r="P90" s="0" t="s">
        <v>2050</v>
      </c>
      <c r="Q90" s="0" t="s">
        <v>2057</v>
      </c>
      <c r="R90" s="0" t="s">
        <v>2050</v>
      </c>
      <c r="S90" s="0" t="s">
        <v>2058</v>
      </c>
      <c r="T90" s="0" t="s">
        <v>2050</v>
      </c>
      <c r="U90" s="0" t="s">
        <v>2050</v>
      </c>
      <c r="V90" s="0" t="s">
        <v>2050</v>
      </c>
      <c r="W90" s="0" t="s">
        <v>2059</v>
      </c>
      <c r="X90" s="0" t="s">
        <v>2060</v>
      </c>
      <c r="Y90" s="0" t="s">
        <v>2061</v>
      </c>
      <c r="Z90" s="0" t="s">
        <v>2062</v>
      </c>
      <c r="AA90" s="0" t="s">
        <v>2055</v>
      </c>
      <c r="AB90" s="0" t="s">
        <v>2063</v>
      </c>
      <c r="AC90" s="0" t="s">
        <v>2050</v>
      </c>
      <c r="AD90" s="0" t="s">
        <v>2050</v>
      </c>
      <c r="AE90" s="0" t="s">
        <v>2064</v>
      </c>
      <c r="AF90" s="0" t="s">
        <v>2050</v>
      </c>
      <c r="AG90" s="0" t="s">
        <v>2065</v>
      </c>
      <c r="AH90" s="0" t="s">
        <v>2055</v>
      </c>
      <c r="AI90" s="0" t="s">
        <v>2050</v>
      </c>
      <c r="AJ90" s="0" t="s">
        <v>2050</v>
      </c>
      <c r="AK90" s="0" t="s">
        <v>2050</v>
      </c>
      <c r="AL90" s="0" t="s">
        <v>2066</v>
      </c>
      <c r="AM90" s="0" t="s">
        <v>2053</v>
      </c>
      <c r="AN90" s="0" t="s">
        <v>2067</v>
      </c>
      <c r="AO90" s="0" t="s">
        <v>2068</v>
      </c>
      <c r="AP90" s="0" t="s">
        <v>2069</v>
      </c>
    </row>
    <row r="91" customFormat="false" ht="12.75" hidden="false" customHeight="false" outlineLevel="0" collapsed="false">
      <c r="A91" s="0" t="s">
        <v>2070</v>
      </c>
      <c r="B91" s="0" t="s">
        <v>2071</v>
      </c>
      <c r="C91" s="0" t="s">
        <v>2070</v>
      </c>
      <c r="D91" s="0" t="s">
        <v>2070</v>
      </c>
      <c r="E91" s="0" t="s">
        <v>2072</v>
      </c>
      <c r="F91" s="0" t="s">
        <v>2070</v>
      </c>
      <c r="G91" s="0" t="s">
        <v>2073</v>
      </c>
      <c r="H91" s="0" t="s">
        <v>2074</v>
      </c>
      <c r="I91" s="0" t="s">
        <v>2070</v>
      </c>
      <c r="J91" s="0" t="s">
        <v>2070</v>
      </c>
      <c r="K91" s="0" t="s">
        <v>2075</v>
      </c>
      <c r="L91" s="0" t="s">
        <v>2075</v>
      </c>
      <c r="M91" s="0" t="s">
        <v>2070</v>
      </c>
      <c r="N91" s="0" t="s">
        <v>2070</v>
      </c>
      <c r="O91" s="0" t="s">
        <v>2076</v>
      </c>
      <c r="P91" s="0" t="s">
        <v>2070</v>
      </c>
      <c r="Q91" s="0" t="s">
        <v>2077</v>
      </c>
      <c r="R91" s="0" t="s">
        <v>2070</v>
      </c>
      <c r="S91" s="0" t="s">
        <v>2078</v>
      </c>
      <c r="T91" s="0" t="s">
        <v>2070</v>
      </c>
      <c r="U91" s="0" t="s">
        <v>2070</v>
      </c>
      <c r="V91" s="0" t="s">
        <v>2070</v>
      </c>
      <c r="W91" s="0" t="s">
        <v>2079</v>
      </c>
      <c r="X91" s="0" t="s">
        <v>2080</v>
      </c>
      <c r="Y91" s="0" t="s">
        <v>2081</v>
      </c>
      <c r="Z91" s="0" t="s">
        <v>2082</v>
      </c>
      <c r="AA91" s="0" t="s">
        <v>2075</v>
      </c>
      <c r="AB91" s="0" t="s">
        <v>2083</v>
      </c>
      <c r="AC91" s="0" t="s">
        <v>2070</v>
      </c>
      <c r="AD91" s="0" t="s">
        <v>2070</v>
      </c>
      <c r="AE91" s="0" t="s">
        <v>2084</v>
      </c>
      <c r="AF91" s="0" t="s">
        <v>2070</v>
      </c>
      <c r="AG91" s="0" t="s">
        <v>2085</v>
      </c>
      <c r="AH91" s="0" t="s">
        <v>2075</v>
      </c>
      <c r="AI91" s="0" t="s">
        <v>2070</v>
      </c>
      <c r="AJ91" s="0" t="s">
        <v>2070</v>
      </c>
      <c r="AK91" s="0" t="s">
        <v>2070</v>
      </c>
      <c r="AL91" s="0" t="s">
        <v>2086</v>
      </c>
      <c r="AM91" s="0" t="s">
        <v>2073</v>
      </c>
      <c r="AN91" s="0" t="s">
        <v>2087</v>
      </c>
      <c r="AO91" s="0" t="s">
        <v>2088</v>
      </c>
      <c r="AP91" s="0" t="s">
        <v>2089</v>
      </c>
    </row>
    <row r="92" customFormat="false" ht="12.75" hidden="false" customHeight="false" outlineLevel="0" collapsed="false">
      <c r="A92" s="0" t="s">
        <v>2090</v>
      </c>
      <c r="B92" s="0" t="s">
        <v>2091</v>
      </c>
      <c r="C92" s="0" t="s">
        <v>2090</v>
      </c>
      <c r="D92" s="0" t="s">
        <v>2090</v>
      </c>
      <c r="E92" s="0" t="s">
        <v>2092</v>
      </c>
      <c r="F92" s="0" t="s">
        <v>2090</v>
      </c>
      <c r="G92" s="0" t="s">
        <v>2093</v>
      </c>
      <c r="H92" s="0" t="s">
        <v>2094</v>
      </c>
      <c r="I92" s="0" t="s">
        <v>2090</v>
      </c>
      <c r="J92" s="0" t="s">
        <v>2090</v>
      </c>
      <c r="K92" s="0" t="s">
        <v>2095</v>
      </c>
      <c r="L92" s="0" t="s">
        <v>2095</v>
      </c>
      <c r="M92" s="0" t="s">
        <v>2090</v>
      </c>
      <c r="N92" s="0" t="s">
        <v>2090</v>
      </c>
      <c r="O92" s="0" t="s">
        <v>2096</v>
      </c>
      <c r="P92" s="0" t="s">
        <v>2090</v>
      </c>
      <c r="Q92" s="0" t="s">
        <v>2097</v>
      </c>
      <c r="R92" s="0" t="s">
        <v>2090</v>
      </c>
      <c r="S92" s="0" t="s">
        <v>2098</v>
      </c>
      <c r="T92" s="0" t="s">
        <v>2090</v>
      </c>
      <c r="U92" s="0" t="s">
        <v>2090</v>
      </c>
      <c r="V92" s="0" t="s">
        <v>2090</v>
      </c>
      <c r="W92" s="0" t="s">
        <v>2099</v>
      </c>
      <c r="X92" s="0" t="s">
        <v>2100</v>
      </c>
      <c r="Y92" s="0" t="s">
        <v>2101</v>
      </c>
      <c r="Z92" s="0" t="s">
        <v>2102</v>
      </c>
      <c r="AA92" s="0" t="s">
        <v>2095</v>
      </c>
      <c r="AB92" s="0" t="s">
        <v>2103</v>
      </c>
      <c r="AC92" s="0" t="s">
        <v>2090</v>
      </c>
      <c r="AD92" s="0" t="s">
        <v>2090</v>
      </c>
      <c r="AE92" s="0" t="s">
        <v>2104</v>
      </c>
      <c r="AF92" s="0" t="s">
        <v>2090</v>
      </c>
      <c r="AG92" s="0" t="s">
        <v>2105</v>
      </c>
      <c r="AH92" s="0" t="s">
        <v>2095</v>
      </c>
      <c r="AI92" s="0" t="s">
        <v>2090</v>
      </c>
      <c r="AJ92" s="0" t="s">
        <v>2090</v>
      </c>
      <c r="AK92" s="0" t="s">
        <v>2090</v>
      </c>
      <c r="AL92" s="0" t="s">
        <v>2106</v>
      </c>
      <c r="AM92" s="0" t="s">
        <v>2093</v>
      </c>
      <c r="AN92" s="0" t="s">
        <v>2107</v>
      </c>
      <c r="AO92" s="0" t="s">
        <v>2108</v>
      </c>
      <c r="AP92" s="0" t="s">
        <v>2109</v>
      </c>
    </row>
    <row r="93" customFormat="false" ht="12.75" hidden="false" customHeight="false" outlineLevel="0" collapsed="false">
      <c r="A93" s="0" t="s">
        <v>2110</v>
      </c>
      <c r="B93" s="0" t="s">
        <v>2111</v>
      </c>
      <c r="C93" s="0" t="s">
        <v>2110</v>
      </c>
      <c r="D93" s="0" t="s">
        <v>2110</v>
      </c>
      <c r="E93" s="0" t="s">
        <v>2112</v>
      </c>
      <c r="F93" s="0" t="s">
        <v>2110</v>
      </c>
      <c r="G93" s="0" t="s">
        <v>2113</v>
      </c>
      <c r="H93" s="0" t="s">
        <v>2114</v>
      </c>
      <c r="I93" s="0" t="s">
        <v>2110</v>
      </c>
      <c r="J93" s="0" t="s">
        <v>2110</v>
      </c>
      <c r="K93" s="0" t="s">
        <v>2115</v>
      </c>
      <c r="L93" s="0" t="s">
        <v>2115</v>
      </c>
      <c r="M93" s="0" t="s">
        <v>2110</v>
      </c>
      <c r="N93" s="0" t="s">
        <v>2110</v>
      </c>
      <c r="O93" s="0" t="s">
        <v>2116</v>
      </c>
      <c r="P93" s="0" t="s">
        <v>2110</v>
      </c>
      <c r="Q93" s="0" t="s">
        <v>2117</v>
      </c>
      <c r="R93" s="0" t="s">
        <v>2110</v>
      </c>
      <c r="S93" s="0" t="s">
        <v>2118</v>
      </c>
      <c r="T93" s="0" t="s">
        <v>2110</v>
      </c>
      <c r="U93" s="0" t="s">
        <v>2110</v>
      </c>
      <c r="V93" s="0" t="s">
        <v>2110</v>
      </c>
      <c r="W93" s="0" t="s">
        <v>2119</v>
      </c>
      <c r="X93" s="0" t="s">
        <v>2120</v>
      </c>
      <c r="Y93" s="0" t="s">
        <v>2121</v>
      </c>
      <c r="Z93" s="0" t="s">
        <v>2122</v>
      </c>
      <c r="AA93" s="0" t="s">
        <v>2115</v>
      </c>
      <c r="AB93" s="0" t="s">
        <v>2123</v>
      </c>
      <c r="AC93" s="0" t="s">
        <v>2110</v>
      </c>
      <c r="AD93" s="0" t="s">
        <v>2110</v>
      </c>
      <c r="AE93" s="0" t="s">
        <v>2124</v>
      </c>
      <c r="AF93" s="0" t="s">
        <v>2110</v>
      </c>
      <c r="AG93" s="0" t="s">
        <v>2125</v>
      </c>
      <c r="AH93" s="0" t="s">
        <v>2115</v>
      </c>
      <c r="AI93" s="0" t="s">
        <v>2110</v>
      </c>
      <c r="AJ93" s="0" t="s">
        <v>2110</v>
      </c>
      <c r="AK93" s="0" t="s">
        <v>2110</v>
      </c>
      <c r="AL93" s="0" t="s">
        <v>2126</v>
      </c>
      <c r="AM93" s="0" t="s">
        <v>2113</v>
      </c>
      <c r="AN93" s="0" t="s">
        <v>2127</v>
      </c>
      <c r="AO93" s="0" t="s">
        <v>2128</v>
      </c>
      <c r="AP93" s="0" t="s">
        <v>2129</v>
      </c>
    </row>
    <row r="94" customFormat="false" ht="12.75" hidden="false" customHeight="false" outlineLevel="0" collapsed="false">
      <c r="A94" s="0" t="s">
        <v>2130</v>
      </c>
      <c r="B94" s="0" t="s">
        <v>2131</v>
      </c>
      <c r="C94" s="0" t="s">
        <v>2130</v>
      </c>
      <c r="D94" s="0" t="s">
        <v>2130</v>
      </c>
      <c r="E94" s="0" t="s">
        <v>2132</v>
      </c>
      <c r="F94" s="0" t="s">
        <v>2130</v>
      </c>
      <c r="G94" s="0" t="s">
        <v>2133</v>
      </c>
      <c r="H94" s="0" t="s">
        <v>2134</v>
      </c>
      <c r="I94" s="0" t="s">
        <v>2130</v>
      </c>
      <c r="J94" s="0" t="s">
        <v>2130</v>
      </c>
      <c r="K94" s="0" t="s">
        <v>2135</v>
      </c>
      <c r="L94" s="0" t="s">
        <v>2135</v>
      </c>
      <c r="M94" s="0" t="s">
        <v>2130</v>
      </c>
      <c r="N94" s="0" t="s">
        <v>2130</v>
      </c>
      <c r="O94" s="0" t="s">
        <v>2136</v>
      </c>
      <c r="P94" s="0" t="s">
        <v>2130</v>
      </c>
      <c r="Q94" s="0" t="s">
        <v>2137</v>
      </c>
      <c r="R94" s="0" t="s">
        <v>2130</v>
      </c>
      <c r="S94" s="0" t="s">
        <v>2138</v>
      </c>
      <c r="T94" s="0" t="s">
        <v>2130</v>
      </c>
      <c r="U94" s="0" t="s">
        <v>2130</v>
      </c>
      <c r="V94" s="0" t="s">
        <v>2130</v>
      </c>
      <c r="W94" s="0" t="s">
        <v>2139</v>
      </c>
      <c r="X94" s="0" t="s">
        <v>2140</v>
      </c>
      <c r="Y94" s="0" t="s">
        <v>2141</v>
      </c>
      <c r="Z94" s="0" t="s">
        <v>2142</v>
      </c>
      <c r="AA94" s="0" t="s">
        <v>2135</v>
      </c>
      <c r="AB94" s="0" t="s">
        <v>2143</v>
      </c>
      <c r="AC94" s="0" t="s">
        <v>2130</v>
      </c>
      <c r="AD94" s="0" t="s">
        <v>2130</v>
      </c>
      <c r="AE94" s="0" t="s">
        <v>2144</v>
      </c>
      <c r="AF94" s="0" t="s">
        <v>2130</v>
      </c>
      <c r="AG94" s="0" t="s">
        <v>2145</v>
      </c>
      <c r="AH94" s="0" t="s">
        <v>2135</v>
      </c>
      <c r="AI94" s="0" t="s">
        <v>2130</v>
      </c>
      <c r="AJ94" s="0" t="s">
        <v>2130</v>
      </c>
      <c r="AK94" s="0" t="s">
        <v>2130</v>
      </c>
      <c r="AL94" s="0" t="s">
        <v>2146</v>
      </c>
      <c r="AM94" s="0" t="s">
        <v>2133</v>
      </c>
      <c r="AN94" s="0" t="s">
        <v>2147</v>
      </c>
      <c r="AO94" s="0" t="s">
        <v>2148</v>
      </c>
      <c r="AP94" s="0" t="s">
        <v>2149</v>
      </c>
    </row>
    <row r="95" customFormat="false" ht="12.75" hidden="false" customHeight="false" outlineLevel="0" collapsed="false">
      <c r="A95" s="0" t="s">
        <v>2150</v>
      </c>
      <c r="B95" s="0" t="s">
        <v>2151</v>
      </c>
      <c r="C95" s="0" t="s">
        <v>2150</v>
      </c>
      <c r="D95" s="0" t="s">
        <v>2150</v>
      </c>
      <c r="E95" s="0" t="s">
        <v>2152</v>
      </c>
      <c r="F95" s="0" t="s">
        <v>2150</v>
      </c>
      <c r="G95" s="0" t="s">
        <v>2153</v>
      </c>
      <c r="H95" s="0" t="s">
        <v>2154</v>
      </c>
      <c r="I95" s="0" t="s">
        <v>2150</v>
      </c>
      <c r="J95" s="0" t="s">
        <v>2150</v>
      </c>
      <c r="K95" s="0" t="s">
        <v>2155</v>
      </c>
      <c r="L95" s="0" t="s">
        <v>2155</v>
      </c>
      <c r="M95" s="0" t="s">
        <v>2150</v>
      </c>
      <c r="N95" s="0" t="s">
        <v>2150</v>
      </c>
      <c r="O95" s="0" t="s">
        <v>2156</v>
      </c>
      <c r="P95" s="0" t="s">
        <v>2150</v>
      </c>
      <c r="Q95" s="0" t="s">
        <v>2157</v>
      </c>
      <c r="R95" s="0" t="s">
        <v>2150</v>
      </c>
      <c r="S95" s="0" t="s">
        <v>2158</v>
      </c>
      <c r="T95" s="0" t="s">
        <v>2150</v>
      </c>
      <c r="U95" s="0" t="s">
        <v>2150</v>
      </c>
      <c r="V95" s="0" t="s">
        <v>2150</v>
      </c>
      <c r="W95" s="0" t="s">
        <v>2159</v>
      </c>
      <c r="X95" s="0" t="s">
        <v>2160</v>
      </c>
      <c r="Y95" s="0" t="s">
        <v>2161</v>
      </c>
      <c r="Z95" s="0" t="s">
        <v>2162</v>
      </c>
      <c r="AA95" s="0" t="s">
        <v>2155</v>
      </c>
      <c r="AB95" s="0" t="s">
        <v>2163</v>
      </c>
      <c r="AC95" s="0" t="s">
        <v>2150</v>
      </c>
      <c r="AD95" s="0" t="s">
        <v>2150</v>
      </c>
      <c r="AE95" s="0" t="s">
        <v>2164</v>
      </c>
      <c r="AF95" s="0" t="s">
        <v>2150</v>
      </c>
      <c r="AG95" s="0" t="s">
        <v>2165</v>
      </c>
      <c r="AH95" s="0" t="s">
        <v>2155</v>
      </c>
      <c r="AI95" s="0" t="s">
        <v>2150</v>
      </c>
      <c r="AJ95" s="0" t="s">
        <v>2150</v>
      </c>
      <c r="AK95" s="0" t="s">
        <v>2150</v>
      </c>
      <c r="AL95" s="0" t="s">
        <v>2166</v>
      </c>
      <c r="AM95" s="0" t="s">
        <v>2153</v>
      </c>
      <c r="AN95" s="0" t="s">
        <v>2167</v>
      </c>
      <c r="AO95" s="0" t="s">
        <v>2168</v>
      </c>
      <c r="AP95" s="0" t="s">
        <v>2169</v>
      </c>
    </row>
    <row r="96" customFormat="false" ht="12.75" hidden="false" customHeight="false" outlineLevel="0" collapsed="false">
      <c r="A96" s="0" t="s">
        <v>2170</v>
      </c>
      <c r="B96" s="0" t="s">
        <v>2171</v>
      </c>
      <c r="C96" s="0" t="s">
        <v>2170</v>
      </c>
      <c r="D96" s="0" t="s">
        <v>2170</v>
      </c>
      <c r="E96" s="0" t="s">
        <v>2172</v>
      </c>
      <c r="F96" s="0" t="s">
        <v>2170</v>
      </c>
      <c r="G96" s="0" t="s">
        <v>2173</v>
      </c>
      <c r="H96" s="0" t="s">
        <v>2174</v>
      </c>
      <c r="I96" s="0" t="s">
        <v>2170</v>
      </c>
      <c r="J96" s="0" t="s">
        <v>2170</v>
      </c>
      <c r="K96" s="0" t="s">
        <v>2175</v>
      </c>
      <c r="L96" s="0" t="s">
        <v>2175</v>
      </c>
      <c r="M96" s="0" t="s">
        <v>2170</v>
      </c>
      <c r="N96" s="0" t="s">
        <v>2170</v>
      </c>
      <c r="O96" s="0" t="s">
        <v>2176</v>
      </c>
      <c r="P96" s="0" t="s">
        <v>2170</v>
      </c>
      <c r="Q96" s="0" t="s">
        <v>2177</v>
      </c>
      <c r="R96" s="0" t="s">
        <v>2170</v>
      </c>
      <c r="S96" s="0" t="s">
        <v>2178</v>
      </c>
      <c r="T96" s="0" t="s">
        <v>2170</v>
      </c>
      <c r="U96" s="0" t="s">
        <v>2170</v>
      </c>
      <c r="V96" s="0" t="s">
        <v>2170</v>
      </c>
      <c r="W96" s="0" t="s">
        <v>2179</v>
      </c>
      <c r="X96" s="0" t="s">
        <v>2180</v>
      </c>
      <c r="Y96" s="0" t="s">
        <v>2181</v>
      </c>
      <c r="Z96" s="0" t="s">
        <v>2182</v>
      </c>
      <c r="AA96" s="0" t="s">
        <v>2175</v>
      </c>
      <c r="AB96" s="0" t="s">
        <v>2183</v>
      </c>
      <c r="AC96" s="0" t="s">
        <v>2170</v>
      </c>
      <c r="AD96" s="0" t="s">
        <v>2170</v>
      </c>
      <c r="AE96" s="0" t="s">
        <v>2184</v>
      </c>
      <c r="AF96" s="0" t="s">
        <v>2170</v>
      </c>
      <c r="AG96" s="0" t="s">
        <v>2185</v>
      </c>
      <c r="AH96" s="0" t="s">
        <v>2175</v>
      </c>
      <c r="AI96" s="0" t="s">
        <v>2170</v>
      </c>
      <c r="AJ96" s="0" t="s">
        <v>2170</v>
      </c>
      <c r="AK96" s="0" t="s">
        <v>2170</v>
      </c>
      <c r="AL96" s="0" t="s">
        <v>2186</v>
      </c>
      <c r="AM96" s="0" t="s">
        <v>2173</v>
      </c>
      <c r="AN96" s="0" t="s">
        <v>2187</v>
      </c>
      <c r="AO96" s="0" t="s">
        <v>2188</v>
      </c>
      <c r="AP96" s="0" t="s">
        <v>2189</v>
      </c>
    </row>
    <row r="97" customFormat="false" ht="12.75" hidden="false" customHeight="false" outlineLevel="0" collapsed="false">
      <c r="A97" s="0" t="s">
        <v>2190</v>
      </c>
      <c r="B97" s="0" t="s">
        <v>2191</v>
      </c>
      <c r="C97" s="0" t="s">
        <v>2190</v>
      </c>
      <c r="D97" s="0" t="s">
        <v>2190</v>
      </c>
      <c r="E97" s="0" t="s">
        <v>2192</v>
      </c>
      <c r="F97" s="0" t="s">
        <v>2190</v>
      </c>
      <c r="G97" s="0" t="s">
        <v>2193</v>
      </c>
      <c r="H97" s="0" t="s">
        <v>2194</v>
      </c>
      <c r="I97" s="0" t="s">
        <v>2190</v>
      </c>
      <c r="J97" s="0" t="s">
        <v>2190</v>
      </c>
      <c r="K97" s="0" t="s">
        <v>2195</v>
      </c>
      <c r="L97" s="0" t="s">
        <v>2195</v>
      </c>
      <c r="M97" s="0" t="s">
        <v>2190</v>
      </c>
      <c r="N97" s="0" t="s">
        <v>2190</v>
      </c>
      <c r="O97" s="0" t="s">
        <v>2196</v>
      </c>
      <c r="P97" s="0" t="s">
        <v>2190</v>
      </c>
      <c r="Q97" s="0" t="s">
        <v>2197</v>
      </c>
      <c r="R97" s="0" t="s">
        <v>2190</v>
      </c>
      <c r="S97" s="0" t="s">
        <v>2198</v>
      </c>
      <c r="T97" s="0" t="s">
        <v>2190</v>
      </c>
      <c r="U97" s="0" t="s">
        <v>2190</v>
      </c>
      <c r="V97" s="0" t="s">
        <v>2190</v>
      </c>
      <c r="W97" s="0" t="s">
        <v>2199</v>
      </c>
      <c r="X97" s="0" t="s">
        <v>2200</v>
      </c>
      <c r="Y97" s="0" t="s">
        <v>2201</v>
      </c>
      <c r="Z97" s="0" t="s">
        <v>2202</v>
      </c>
      <c r="AA97" s="0" t="s">
        <v>2195</v>
      </c>
      <c r="AB97" s="0" t="s">
        <v>2203</v>
      </c>
      <c r="AC97" s="0" t="s">
        <v>2190</v>
      </c>
      <c r="AD97" s="0" t="s">
        <v>2190</v>
      </c>
      <c r="AE97" s="0" t="s">
        <v>2204</v>
      </c>
      <c r="AF97" s="0" t="s">
        <v>2190</v>
      </c>
      <c r="AG97" s="0" t="s">
        <v>2205</v>
      </c>
      <c r="AH97" s="0" t="s">
        <v>2195</v>
      </c>
      <c r="AI97" s="0" t="s">
        <v>2190</v>
      </c>
      <c r="AJ97" s="0" t="s">
        <v>2190</v>
      </c>
      <c r="AK97" s="0" t="s">
        <v>2190</v>
      </c>
      <c r="AL97" s="0" t="s">
        <v>2206</v>
      </c>
      <c r="AM97" s="0" t="s">
        <v>2193</v>
      </c>
      <c r="AN97" s="0" t="s">
        <v>2207</v>
      </c>
      <c r="AO97" s="0" t="s">
        <v>2208</v>
      </c>
      <c r="AP97" s="0" t="s">
        <v>2209</v>
      </c>
    </row>
    <row r="98" customFormat="false" ht="12.75" hidden="false" customHeight="false" outlineLevel="0" collapsed="false">
      <c r="A98" s="0" t="s">
        <v>2210</v>
      </c>
      <c r="B98" s="0" t="s">
        <v>2211</v>
      </c>
      <c r="C98" s="0" t="s">
        <v>2210</v>
      </c>
      <c r="D98" s="0" t="s">
        <v>2210</v>
      </c>
      <c r="E98" s="0" t="s">
        <v>2212</v>
      </c>
      <c r="F98" s="0" t="s">
        <v>2210</v>
      </c>
      <c r="G98" s="0" t="s">
        <v>2213</v>
      </c>
      <c r="H98" s="0" t="s">
        <v>2214</v>
      </c>
      <c r="I98" s="0" t="s">
        <v>2210</v>
      </c>
      <c r="J98" s="0" t="s">
        <v>2210</v>
      </c>
      <c r="K98" s="0" t="s">
        <v>2215</v>
      </c>
      <c r="L98" s="0" t="s">
        <v>2215</v>
      </c>
      <c r="M98" s="0" t="s">
        <v>2210</v>
      </c>
      <c r="N98" s="0" t="s">
        <v>2210</v>
      </c>
      <c r="O98" s="0" t="s">
        <v>2216</v>
      </c>
      <c r="P98" s="0" t="s">
        <v>2210</v>
      </c>
      <c r="Q98" s="0" t="s">
        <v>2217</v>
      </c>
      <c r="R98" s="0" t="s">
        <v>2210</v>
      </c>
      <c r="S98" s="0" t="s">
        <v>2218</v>
      </c>
      <c r="T98" s="0" t="s">
        <v>2210</v>
      </c>
      <c r="U98" s="0" t="s">
        <v>2210</v>
      </c>
      <c r="V98" s="0" t="s">
        <v>2210</v>
      </c>
      <c r="W98" s="2" t="s">
        <v>2219</v>
      </c>
      <c r="X98" s="0" t="s">
        <v>2220</v>
      </c>
      <c r="Y98" s="0" t="s">
        <v>2221</v>
      </c>
      <c r="Z98" s="0" t="s">
        <v>2222</v>
      </c>
      <c r="AA98" s="0" t="s">
        <v>2215</v>
      </c>
      <c r="AB98" s="0" t="s">
        <v>2223</v>
      </c>
      <c r="AC98" s="0" t="s">
        <v>2210</v>
      </c>
      <c r="AD98" s="0" t="s">
        <v>2210</v>
      </c>
      <c r="AE98" s="0" t="s">
        <v>2224</v>
      </c>
      <c r="AF98" s="0" t="s">
        <v>2210</v>
      </c>
      <c r="AG98" s="0" t="s">
        <v>2225</v>
      </c>
      <c r="AH98" s="0" t="s">
        <v>2215</v>
      </c>
      <c r="AI98" s="0" t="s">
        <v>2210</v>
      </c>
      <c r="AJ98" s="0" t="s">
        <v>2210</v>
      </c>
      <c r="AK98" s="0" t="s">
        <v>2210</v>
      </c>
      <c r="AL98" s="0" t="s">
        <v>2226</v>
      </c>
      <c r="AM98" s="0" t="s">
        <v>2213</v>
      </c>
      <c r="AN98" s="0" t="s">
        <v>2227</v>
      </c>
      <c r="AO98" s="0" t="s">
        <v>2228</v>
      </c>
      <c r="AP98" s="0" t="s">
        <v>2229</v>
      </c>
    </row>
    <row r="99" customFormat="false" ht="12.75" hidden="false" customHeight="false" outlineLevel="0" collapsed="false">
      <c r="A99" s="0" t="s">
        <v>2230</v>
      </c>
      <c r="B99" s="0" t="s">
        <v>2231</v>
      </c>
      <c r="C99" s="0" t="s">
        <v>2230</v>
      </c>
      <c r="D99" s="0" t="s">
        <v>2230</v>
      </c>
      <c r="E99" s="0" t="s">
        <v>2232</v>
      </c>
      <c r="F99" s="0" t="s">
        <v>2230</v>
      </c>
      <c r="G99" s="0" t="s">
        <v>2233</v>
      </c>
      <c r="H99" s="0" t="s">
        <v>2234</v>
      </c>
      <c r="I99" s="0" t="s">
        <v>2230</v>
      </c>
      <c r="J99" s="0" t="s">
        <v>2230</v>
      </c>
      <c r="K99" s="0" t="s">
        <v>2235</v>
      </c>
      <c r="L99" s="0" t="s">
        <v>2235</v>
      </c>
      <c r="M99" s="0" t="s">
        <v>2230</v>
      </c>
      <c r="N99" s="0" t="s">
        <v>2230</v>
      </c>
      <c r="O99" s="0" t="s">
        <v>2236</v>
      </c>
      <c r="P99" s="0" t="s">
        <v>2230</v>
      </c>
      <c r="Q99" s="0" t="s">
        <v>2237</v>
      </c>
      <c r="R99" s="0" t="s">
        <v>2230</v>
      </c>
      <c r="S99" s="0" t="s">
        <v>2238</v>
      </c>
      <c r="T99" s="0" t="s">
        <v>2230</v>
      </c>
      <c r="U99" s="0" t="s">
        <v>2230</v>
      </c>
      <c r="V99" s="0" t="s">
        <v>2230</v>
      </c>
      <c r="W99" s="2" t="s">
        <v>2239</v>
      </c>
      <c r="X99" s="0" t="s">
        <v>2240</v>
      </c>
      <c r="Y99" s="0" t="s">
        <v>2241</v>
      </c>
      <c r="Z99" s="0" t="s">
        <v>2242</v>
      </c>
      <c r="AA99" s="0" t="s">
        <v>2235</v>
      </c>
      <c r="AB99" s="0" t="s">
        <v>2243</v>
      </c>
      <c r="AC99" s="0" t="s">
        <v>2230</v>
      </c>
      <c r="AD99" s="0" t="s">
        <v>2230</v>
      </c>
      <c r="AE99" s="0" t="s">
        <v>2244</v>
      </c>
      <c r="AF99" s="0" t="s">
        <v>2230</v>
      </c>
      <c r="AG99" s="0" t="s">
        <v>2245</v>
      </c>
      <c r="AH99" s="0" t="s">
        <v>2235</v>
      </c>
      <c r="AI99" s="0" t="s">
        <v>2230</v>
      </c>
      <c r="AJ99" s="0" t="s">
        <v>2230</v>
      </c>
      <c r="AK99" s="0" t="s">
        <v>2230</v>
      </c>
      <c r="AL99" s="0" t="s">
        <v>2246</v>
      </c>
      <c r="AM99" s="0" t="s">
        <v>2233</v>
      </c>
      <c r="AN99" s="0" t="s">
        <v>2247</v>
      </c>
      <c r="AO99" s="0" t="s">
        <v>2248</v>
      </c>
      <c r="AP99" s="0" t="s">
        <v>2249</v>
      </c>
    </row>
    <row r="100" customFormat="false" ht="12.75" hidden="false" customHeight="false" outlineLevel="0" collapsed="false">
      <c r="A100" s="0" t="s">
        <v>2250</v>
      </c>
      <c r="B100" s="0" t="s">
        <v>2251</v>
      </c>
      <c r="C100" s="0" t="s">
        <v>2250</v>
      </c>
      <c r="D100" s="0" t="s">
        <v>2250</v>
      </c>
      <c r="E100" s="0" t="s">
        <v>2252</v>
      </c>
      <c r="F100" s="0" t="s">
        <v>2250</v>
      </c>
      <c r="G100" s="0" t="s">
        <v>2253</v>
      </c>
      <c r="H100" s="0" t="s">
        <v>2254</v>
      </c>
      <c r="I100" s="0" t="s">
        <v>2250</v>
      </c>
      <c r="J100" s="0" t="s">
        <v>2250</v>
      </c>
      <c r="K100" s="0" t="s">
        <v>2253</v>
      </c>
      <c r="L100" s="0" t="s">
        <v>2255</v>
      </c>
      <c r="M100" s="0" t="s">
        <v>2256</v>
      </c>
      <c r="N100" s="0" t="s">
        <v>2250</v>
      </c>
      <c r="O100" s="0" t="s">
        <v>2257</v>
      </c>
      <c r="P100" s="0" t="s">
        <v>2250</v>
      </c>
      <c r="Q100" s="0" t="s">
        <v>2258</v>
      </c>
      <c r="R100" s="0" t="s">
        <v>2250</v>
      </c>
      <c r="S100" s="0" t="s">
        <v>2256</v>
      </c>
      <c r="T100" s="0" t="s">
        <v>2250</v>
      </c>
      <c r="U100" s="0" t="s">
        <v>2250</v>
      </c>
      <c r="V100" s="0" t="s">
        <v>2250</v>
      </c>
      <c r="W100" s="2" t="s">
        <v>2259</v>
      </c>
      <c r="X100" s="0" t="s">
        <v>2253</v>
      </c>
      <c r="Y100" s="0" t="s">
        <v>2260</v>
      </c>
      <c r="Z100" s="0" t="s">
        <v>2255</v>
      </c>
      <c r="AA100" s="0" t="s">
        <v>2255</v>
      </c>
      <c r="AB100" s="0" t="s">
        <v>2261</v>
      </c>
      <c r="AC100" s="0" t="s">
        <v>2250</v>
      </c>
      <c r="AD100" s="0" t="s">
        <v>2250</v>
      </c>
      <c r="AE100" s="0" t="s">
        <v>2253</v>
      </c>
      <c r="AF100" s="0" t="s">
        <v>2250</v>
      </c>
      <c r="AG100" s="0" t="s">
        <v>2262</v>
      </c>
      <c r="AH100" s="0" t="s">
        <v>2253</v>
      </c>
      <c r="AI100" s="0" t="s">
        <v>2250</v>
      </c>
      <c r="AJ100" s="0" t="s">
        <v>2250</v>
      </c>
      <c r="AK100" s="0" t="s">
        <v>2250</v>
      </c>
      <c r="AL100" s="0" t="s">
        <v>2263</v>
      </c>
      <c r="AM100" s="0" t="s">
        <v>2252</v>
      </c>
      <c r="AN100" s="0" t="s">
        <v>2264</v>
      </c>
      <c r="AO100" s="0" t="s">
        <v>2265</v>
      </c>
      <c r="AP100" s="0" t="s">
        <v>2266</v>
      </c>
    </row>
    <row r="101" customFormat="false" ht="12.75" hidden="false" customHeight="false" outlineLevel="0" collapsed="false">
      <c r="A101" s="0" t="s">
        <v>2267</v>
      </c>
      <c r="B101" s="0" t="s">
        <v>2268</v>
      </c>
      <c r="C101" s="0" t="s">
        <v>2267</v>
      </c>
      <c r="D101" s="0" t="s">
        <v>2267</v>
      </c>
      <c r="E101" s="0" t="s">
        <v>2269</v>
      </c>
      <c r="F101" s="0" t="s">
        <v>2267</v>
      </c>
      <c r="G101" s="0" t="s">
        <v>2270</v>
      </c>
      <c r="H101" s="0" t="s">
        <v>2271</v>
      </c>
      <c r="I101" s="0" t="s">
        <v>2267</v>
      </c>
      <c r="J101" s="0" t="s">
        <v>2267</v>
      </c>
      <c r="K101" s="0" t="s">
        <v>2270</v>
      </c>
      <c r="L101" s="0" t="s">
        <v>2272</v>
      </c>
      <c r="M101" s="0" t="s">
        <v>2273</v>
      </c>
      <c r="N101" s="0" t="s">
        <v>2267</v>
      </c>
      <c r="O101" s="0" t="s">
        <v>2274</v>
      </c>
      <c r="P101" s="0" t="s">
        <v>2267</v>
      </c>
      <c r="Q101" s="0" t="s">
        <v>2275</v>
      </c>
      <c r="R101" s="0" t="s">
        <v>2267</v>
      </c>
      <c r="S101" s="0" t="s">
        <v>2273</v>
      </c>
      <c r="T101" s="0" t="s">
        <v>2267</v>
      </c>
      <c r="U101" s="0" t="s">
        <v>2267</v>
      </c>
      <c r="V101" s="0" t="s">
        <v>2267</v>
      </c>
      <c r="W101" s="2" t="s">
        <v>2276</v>
      </c>
      <c r="X101" s="0" t="s">
        <v>2270</v>
      </c>
      <c r="Y101" s="0" t="s">
        <v>2277</v>
      </c>
      <c r="Z101" s="0" t="s">
        <v>2272</v>
      </c>
      <c r="AA101" s="0" t="s">
        <v>2272</v>
      </c>
      <c r="AB101" s="0" t="s">
        <v>2278</v>
      </c>
      <c r="AC101" s="0" t="s">
        <v>2267</v>
      </c>
      <c r="AD101" s="0" t="s">
        <v>2267</v>
      </c>
      <c r="AE101" s="0" t="s">
        <v>2270</v>
      </c>
      <c r="AF101" s="0" t="s">
        <v>2267</v>
      </c>
      <c r="AG101" s="0" t="s">
        <v>2279</v>
      </c>
      <c r="AH101" s="0" t="s">
        <v>2270</v>
      </c>
      <c r="AI101" s="0" t="s">
        <v>2267</v>
      </c>
      <c r="AJ101" s="0" t="s">
        <v>2267</v>
      </c>
      <c r="AK101" s="0" t="s">
        <v>2267</v>
      </c>
      <c r="AL101" s="0" t="s">
        <v>2280</v>
      </c>
      <c r="AM101" s="0" t="s">
        <v>2269</v>
      </c>
      <c r="AN101" s="0" t="s">
        <v>2281</v>
      </c>
      <c r="AO101" s="0" t="s">
        <v>2282</v>
      </c>
      <c r="AP101" s="0" t="s">
        <v>2283</v>
      </c>
    </row>
    <row r="102" customFormat="false" ht="12.75" hidden="false" customHeight="false" outlineLevel="0" collapsed="false">
      <c r="A102" s="1" t="s">
        <v>2284</v>
      </c>
      <c r="B102" s="0" t="s">
        <v>2284</v>
      </c>
      <c r="C102" s="0" t="s">
        <v>2285</v>
      </c>
      <c r="D102" s="0" t="s">
        <v>2286</v>
      </c>
      <c r="E102" s="0" t="s">
        <v>2284</v>
      </c>
      <c r="F102" s="0" t="s">
        <v>2287</v>
      </c>
      <c r="G102" s="0" t="s">
        <v>2288</v>
      </c>
      <c r="H102" s="0" t="s">
        <v>2289</v>
      </c>
      <c r="I102" s="0" t="s">
        <v>2290</v>
      </c>
      <c r="J102" s="0" t="s">
        <v>2291</v>
      </c>
      <c r="K102" s="0" t="s">
        <v>2284</v>
      </c>
      <c r="L102" s="0" t="s">
        <v>2284</v>
      </c>
      <c r="M102" s="0" t="s">
        <v>2284</v>
      </c>
      <c r="N102" s="0" t="s">
        <v>2284</v>
      </c>
      <c r="O102" s="0" t="s">
        <v>2292</v>
      </c>
      <c r="P102" s="0" t="s">
        <v>2293</v>
      </c>
      <c r="Q102" s="0" t="s">
        <v>2294</v>
      </c>
      <c r="R102" s="0" t="s">
        <v>2295</v>
      </c>
      <c r="S102" s="0" t="s">
        <v>2284</v>
      </c>
      <c r="T102" s="0" t="s">
        <v>2296</v>
      </c>
      <c r="U102" s="0" t="s">
        <v>2297</v>
      </c>
      <c r="V102" s="0" t="s">
        <v>2298</v>
      </c>
      <c r="W102" s="2" t="s">
        <v>2299</v>
      </c>
      <c r="X102" s="0" t="s">
        <v>2300</v>
      </c>
      <c r="Y102" s="0" t="s">
        <v>2287</v>
      </c>
      <c r="Z102" s="0" t="s">
        <v>2284</v>
      </c>
      <c r="AA102" s="0" t="s">
        <v>2284</v>
      </c>
      <c r="AB102" s="0" t="s">
        <v>2301</v>
      </c>
      <c r="AC102" s="0" t="s">
        <v>2284</v>
      </c>
      <c r="AD102" s="0" t="s">
        <v>2284</v>
      </c>
      <c r="AE102" s="0" t="s">
        <v>2302</v>
      </c>
      <c r="AF102" s="0" t="s">
        <v>2303</v>
      </c>
      <c r="AG102" s="0" t="s">
        <v>2304</v>
      </c>
      <c r="AH102" s="0" t="s">
        <v>2284</v>
      </c>
      <c r="AI102" s="0" t="s">
        <v>2284</v>
      </c>
      <c r="AJ102" s="0" t="s">
        <v>2305</v>
      </c>
      <c r="AK102" s="0" t="s">
        <v>2284</v>
      </c>
      <c r="AL102" s="0" t="s">
        <v>2306</v>
      </c>
      <c r="AM102" s="0" t="s">
        <v>2307</v>
      </c>
      <c r="AN102" s="0" t="s">
        <v>2284</v>
      </c>
      <c r="AO102" s="0" t="s">
        <v>2308</v>
      </c>
      <c r="AP102" s="0" t="s">
        <v>2309</v>
      </c>
    </row>
    <row r="103" customFormat="false" ht="12.75" hidden="false" customHeight="false" outlineLevel="0" collapsed="false">
      <c r="A103" s="1" t="s">
        <v>2310</v>
      </c>
    </row>
    <row r="104" customFormat="false" ht="12.75" hidden="false" customHeight="false" outlineLevel="0" collapsed="false">
      <c r="A104" s="1" t="s">
        <v>2311</v>
      </c>
      <c r="B104" s="0" t="s">
        <v>2312</v>
      </c>
      <c r="C104" s="0" t="s">
        <v>2313</v>
      </c>
      <c r="D104" s="0" t="s">
        <v>2311</v>
      </c>
      <c r="E104" s="0" t="s">
        <v>2311</v>
      </c>
      <c r="F104" s="0" t="s">
        <v>2311</v>
      </c>
      <c r="G104" s="0" t="s">
        <v>2314</v>
      </c>
      <c r="H104" s="2" t="s">
        <v>2315</v>
      </c>
      <c r="I104" s="2" t="s">
        <v>2316</v>
      </c>
      <c r="J104" s="0" t="s">
        <v>2311</v>
      </c>
      <c r="K104" s="0" t="s">
        <v>2311</v>
      </c>
      <c r="L104" s="0" t="s">
        <v>2311</v>
      </c>
      <c r="M104" s="0" t="s">
        <v>2311</v>
      </c>
      <c r="N104" s="0" t="s">
        <v>2311</v>
      </c>
      <c r="O104" s="0" t="s">
        <v>2311</v>
      </c>
      <c r="P104" s="0" t="s">
        <v>2311</v>
      </c>
      <c r="Q104" s="0" t="s">
        <v>2317</v>
      </c>
      <c r="R104" s="0" t="s">
        <v>2318</v>
      </c>
      <c r="S104" s="0" t="s">
        <v>2311</v>
      </c>
      <c r="T104" s="0" t="s">
        <v>2311</v>
      </c>
      <c r="U104" s="0" t="s">
        <v>2311</v>
      </c>
      <c r="V104" s="0" t="s">
        <v>2311</v>
      </c>
      <c r="W104" s="2" t="s">
        <v>2319</v>
      </c>
      <c r="X104" s="0" t="s">
        <v>2311</v>
      </c>
      <c r="Y104" s="0" t="s">
        <v>2320</v>
      </c>
      <c r="Z104" s="0" t="s">
        <v>2311</v>
      </c>
      <c r="AA104" s="0" t="s">
        <v>2311</v>
      </c>
      <c r="AB104" s="0" t="s">
        <v>2321</v>
      </c>
      <c r="AC104" s="0" t="s">
        <v>2311</v>
      </c>
      <c r="AD104" s="0" t="s">
        <v>2314</v>
      </c>
      <c r="AE104" s="0" t="s">
        <v>2311</v>
      </c>
      <c r="AF104" s="0" t="s">
        <v>2322</v>
      </c>
      <c r="AG104" s="0" t="s">
        <v>2320</v>
      </c>
      <c r="AH104" s="0" t="s">
        <v>2311</v>
      </c>
      <c r="AI104" s="0" t="s">
        <v>2311</v>
      </c>
      <c r="AJ104" s="0" t="s">
        <v>2311</v>
      </c>
      <c r="AK104" s="0" t="s">
        <v>2311</v>
      </c>
      <c r="AL104" s="0" t="s">
        <v>2323</v>
      </c>
      <c r="AM104" s="0" t="s">
        <v>2311</v>
      </c>
      <c r="AN104" s="0" t="s">
        <v>2311</v>
      </c>
      <c r="AO104" s="0" t="s">
        <v>2324</v>
      </c>
      <c r="AP104" s="0" t="s">
        <v>2325</v>
      </c>
    </row>
    <row r="105" customFormat="false" ht="12.75" hidden="false" customHeight="false" outlineLevel="0" collapsed="false">
      <c r="A105" s="1" t="s">
        <v>2326</v>
      </c>
      <c r="B105" s="0" t="s">
        <v>2326</v>
      </c>
      <c r="C105" s="0" t="s">
        <v>2327</v>
      </c>
      <c r="D105" s="0" t="s">
        <v>2326</v>
      </c>
      <c r="E105" s="0" t="s">
        <v>2326</v>
      </c>
      <c r="F105" s="0" t="s">
        <v>2326</v>
      </c>
      <c r="G105" s="0" t="s">
        <v>2326</v>
      </c>
      <c r="H105" s="2" t="s">
        <v>2328</v>
      </c>
      <c r="I105" s="2" t="s">
        <v>2329</v>
      </c>
      <c r="J105" s="0" t="s">
        <v>2326</v>
      </c>
      <c r="K105" s="0" t="s">
        <v>2326</v>
      </c>
      <c r="L105" s="0" t="s">
        <v>2326</v>
      </c>
      <c r="M105" s="0" t="s">
        <v>2326</v>
      </c>
      <c r="N105" s="0" t="s">
        <v>2326</v>
      </c>
      <c r="O105" s="0" t="s">
        <v>2330</v>
      </c>
      <c r="P105" s="0" t="s">
        <v>2326</v>
      </c>
      <c r="Q105" s="0" t="s">
        <v>2326</v>
      </c>
      <c r="R105" s="0" t="s">
        <v>2331</v>
      </c>
      <c r="S105" s="0" t="s">
        <v>2326</v>
      </c>
      <c r="T105" s="0" t="s">
        <v>2326</v>
      </c>
      <c r="U105" s="0" t="s">
        <v>2326</v>
      </c>
      <c r="V105" s="0" t="s">
        <v>2326</v>
      </c>
      <c r="W105" s="2" t="s">
        <v>2332</v>
      </c>
      <c r="X105" s="0" t="s">
        <v>2326</v>
      </c>
      <c r="Y105" s="0" t="s">
        <v>2326</v>
      </c>
      <c r="Z105" s="0" t="s">
        <v>2326</v>
      </c>
      <c r="AA105" s="0" t="s">
        <v>2326</v>
      </c>
      <c r="AB105" s="0" t="s">
        <v>2333</v>
      </c>
      <c r="AC105" s="0" t="s">
        <v>2334</v>
      </c>
      <c r="AD105" s="0" t="s">
        <v>2330</v>
      </c>
      <c r="AE105" s="0" t="s">
        <v>2326</v>
      </c>
      <c r="AF105" s="0" t="s">
        <v>2335</v>
      </c>
      <c r="AG105" s="0" t="s">
        <v>2336</v>
      </c>
      <c r="AH105" s="0" t="s">
        <v>2334</v>
      </c>
      <c r="AI105" s="0" t="s">
        <v>2326</v>
      </c>
      <c r="AJ105" s="0" t="s">
        <v>2326</v>
      </c>
      <c r="AK105" s="0" t="s">
        <v>2326</v>
      </c>
      <c r="AL105" s="0" t="s">
        <v>2337</v>
      </c>
      <c r="AM105" s="0" t="s">
        <v>2326</v>
      </c>
      <c r="AN105" s="0" t="s">
        <v>2326</v>
      </c>
      <c r="AO105" s="0" t="s">
        <v>2335</v>
      </c>
      <c r="AP105" s="0" t="s">
        <v>2338</v>
      </c>
    </row>
    <row r="106" customFormat="false" ht="12.75" hidden="false" customHeight="false" outlineLevel="0" collapsed="false">
      <c r="A106" s="1" t="s">
        <v>2339</v>
      </c>
    </row>
    <row r="107" customFormat="false" ht="12.75" hidden="false" customHeight="false" outlineLevel="0" collapsed="false">
      <c r="A107" s="1" t="s">
        <v>2340</v>
      </c>
    </row>
    <row r="108" customFormat="false" ht="12.75" hidden="false" customHeight="false" outlineLevel="0" collapsed="false">
      <c r="A108" s="1" t="s">
        <v>2341</v>
      </c>
    </row>
    <row r="109" customFormat="false" ht="12.75" hidden="false" customHeight="false" outlineLevel="0" collapsed="false">
      <c r="A109" s="1" t="s">
        <v>2342</v>
      </c>
    </row>
    <row r="110" customFormat="false" ht="12.75" hidden="false" customHeight="false" outlineLevel="0" collapsed="false">
      <c r="A110" s="1" t="s">
        <v>2343</v>
      </c>
    </row>
    <row r="111" customFormat="false" ht="12.75" hidden="false" customHeight="false" outlineLevel="0" collapsed="false">
      <c r="A111" s="1" t="s">
        <v>2344</v>
      </c>
    </row>
    <row r="112" customFormat="false" ht="12.75" hidden="false" customHeight="false" outlineLevel="0" collapsed="false">
      <c r="A112" s="1" t="s">
        <v>2345</v>
      </c>
    </row>
    <row r="113" customFormat="false" ht="12.75" hidden="false" customHeight="false" outlineLevel="0" collapsed="false">
      <c r="A113" s="1" t="s">
        <v>2346</v>
      </c>
    </row>
    <row r="114" customFormat="false" ht="12.75" hidden="false" customHeight="false" outlineLevel="0" collapsed="false">
      <c r="A114" s="1" t="s">
        <v>2347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customFormat="false" ht="12.75" hidden="false" customHeight="false" outlineLevel="0" collapsed="false">
      <c r="A115" s="0" t="s">
        <v>2348</v>
      </c>
      <c r="B115" s="0" t="s">
        <v>2349</v>
      </c>
      <c r="C115" s="0" t="s">
        <v>2350</v>
      </c>
      <c r="D115" s="0" t="s">
        <v>2351</v>
      </c>
      <c r="E115" s="0" t="s">
        <v>2352</v>
      </c>
      <c r="F115" s="0" t="s">
        <v>2353</v>
      </c>
      <c r="G115" s="0" t="s">
        <v>2354</v>
      </c>
      <c r="H115" s="0" t="s">
        <v>2355</v>
      </c>
      <c r="I115" s="0" t="s">
        <v>2356</v>
      </c>
      <c r="J115" s="0" t="s">
        <v>2357</v>
      </c>
      <c r="K115" s="0" t="s">
        <v>2358</v>
      </c>
      <c r="L115" s="0" t="s">
        <v>2359</v>
      </c>
      <c r="M115" s="0" t="s">
        <v>2360</v>
      </c>
      <c r="N115" s="0" t="s">
        <v>2361</v>
      </c>
      <c r="O115" s="0" t="s">
        <v>2362</v>
      </c>
      <c r="P115" s="0" t="s">
        <v>2363</v>
      </c>
      <c r="Q115" s="0" t="s">
        <v>2364</v>
      </c>
      <c r="R115" s="0" t="s">
        <v>2365</v>
      </c>
      <c r="S115" s="0" t="s">
        <v>2366</v>
      </c>
      <c r="T115" s="0" t="s">
        <v>2367</v>
      </c>
      <c r="U115" s="0" t="s">
        <v>2368</v>
      </c>
      <c r="V115" s="0" t="s">
        <v>2369</v>
      </c>
      <c r="W115" s="0" t="s">
        <v>2370</v>
      </c>
      <c r="X115" s="0" t="s">
        <v>2371</v>
      </c>
      <c r="Y115" s="0" t="s">
        <v>2372</v>
      </c>
      <c r="Z115" s="0" t="s">
        <v>2373</v>
      </c>
      <c r="AA115" s="0" t="s">
        <v>2374</v>
      </c>
      <c r="AB115" s="0" t="s">
        <v>2375</v>
      </c>
      <c r="AC115" s="0" t="s">
        <v>2376</v>
      </c>
      <c r="AD115" s="0" t="s">
        <v>2377</v>
      </c>
      <c r="AE115" s="0" t="s">
        <v>2378</v>
      </c>
      <c r="AF115" s="0" t="s">
        <v>2379</v>
      </c>
      <c r="AG115" s="0" t="s">
        <v>2380</v>
      </c>
      <c r="AH115" s="0" t="s">
        <v>2381</v>
      </c>
      <c r="AI115" s="0" t="s">
        <v>2382</v>
      </c>
      <c r="AJ115" s="0" t="s">
        <v>2383</v>
      </c>
      <c r="AK115" s="0" t="s">
        <v>2384</v>
      </c>
      <c r="AL115" s="0" t="s">
        <v>2385</v>
      </c>
      <c r="AM115" s="0" t="s">
        <v>2386</v>
      </c>
      <c r="AN115" s="0" t="s">
        <v>2387</v>
      </c>
      <c r="AO115" s="0" t="s">
        <v>2388</v>
      </c>
      <c r="AP115" s="0" t="s">
        <v>2389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4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2.75"/>
  <cols>
    <col collapsed="false" hidden="false" max="1" min="1" style="3" width="1.53571428571429"/>
    <col collapsed="false" hidden="false" max="2" min="2" style="3" width="21.1428571428571"/>
    <col collapsed="false" hidden="false" max="3" min="3" style="4" width="18.6607142857143"/>
    <col collapsed="false" hidden="false" max="4" min="4" style="3" width="2.24553571428571"/>
    <col collapsed="false" hidden="false" max="5" min="5" style="3" width="1.77232142857143"/>
    <col collapsed="false" hidden="false" max="6" min="6" style="3" width="15.8258928571429"/>
    <col collapsed="false" hidden="false" max="7" min="7" style="3" width="27.5223214285714"/>
    <col collapsed="false" hidden="false" max="8" min="8" style="3" width="2.24553571428571"/>
    <col collapsed="false" hidden="false" max="1025" min="9" style="3" width="8.74107142857143"/>
  </cols>
  <sheetData>
    <row r="1" customFormat="false" ht="12.75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16.5" hidden="false" customHeight="false" outlineLevel="0" collapsed="false">
      <c r="B2" s="5" t="s">
        <v>2390</v>
      </c>
      <c r="C2" s="6"/>
      <c r="D2" s="7"/>
      <c r="E2" s="0"/>
      <c r="F2" s="5" t="s">
        <v>2391</v>
      </c>
      <c r="G2" s="6"/>
      <c r="H2" s="7"/>
    </row>
    <row r="3" customFormat="false" ht="12.75" hidden="false" customHeight="false" outlineLevel="0" collapsed="false">
      <c r="B3" s="8"/>
      <c r="C3" s="9"/>
      <c r="D3" s="10"/>
      <c r="E3" s="0"/>
      <c r="F3" s="8"/>
      <c r="G3" s="9"/>
      <c r="H3" s="10"/>
    </row>
    <row r="4" customFormat="false" ht="12.75" hidden="false" customHeight="false" outlineLevel="0" collapsed="false">
      <c r="B4" s="11" t="s">
        <v>2392</v>
      </c>
      <c r="C4" s="12" t="s">
        <v>18</v>
      </c>
      <c r="D4" s="10"/>
      <c r="E4" s="0"/>
      <c r="F4" s="8"/>
      <c r="G4" s="13"/>
      <c r="H4" s="10"/>
    </row>
    <row r="5" customFormat="false" ht="12.75" hidden="false" customHeight="false" outlineLevel="0" collapsed="false">
      <c r="B5" s="8"/>
      <c r="C5" s="9"/>
      <c r="D5" s="10"/>
      <c r="E5" s="0"/>
      <c r="F5" s="14" t="s">
        <v>2393</v>
      </c>
      <c r="G5" s="15" t="s">
        <v>2394</v>
      </c>
      <c r="H5" s="10"/>
    </row>
    <row r="6" customFormat="false" ht="12.75" hidden="false" customHeight="false" outlineLevel="0" collapsed="false">
      <c r="B6" s="11" t="s">
        <v>2395</v>
      </c>
      <c r="C6" s="12" t="s">
        <v>2396</v>
      </c>
      <c r="D6" s="10"/>
      <c r="E6" s="0"/>
      <c r="F6" s="14" t="s">
        <v>2397</v>
      </c>
      <c r="G6" s="16" t="s">
        <v>2398</v>
      </c>
      <c r="H6" s="10"/>
    </row>
    <row r="7" customFormat="false" ht="12.75" hidden="false" customHeight="false" outlineLevel="0" collapsed="false">
      <c r="B7" s="8"/>
      <c r="C7" s="9"/>
      <c r="D7" s="10"/>
      <c r="E7" s="0"/>
      <c r="F7" s="14" t="s">
        <v>2399</v>
      </c>
      <c r="G7" s="16" t="s">
        <v>2400</v>
      </c>
      <c r="H7" s="10"/>
    </row>
    <row r="8" customFormat="false" ht="12.75" hidden="false" customHeight="false" outlineLevel="0" collapsed="false">
      <c r="B8" s="11" t="s">
        <v>2401</v>
      </c>
      <c r="C8" s="17" t="s">
        <v>2402</v>
      </c>
      <c r="D8" s="10"/>
      <c r="E8" s="0"/>
      <c r="F8" s="14" t="s">
        <v>2403</v>
      </c>
      <c r="G8" s="16" t="s">
        <v>2404</v>
      </c>
      <c r="H8" s="10"/>
    </row>
    <row r="9" customFormat="false" ht="12.75" hidden="false" customHeight="false" outlineLevel="0" collapsed="false">
      <c r="B9" s="8"/>
      <c r="C9" s="9"/>
      <c r="D9" s="10"/>
      <c r="E9" s="0"/>
      <c r="F9" s="14" t="s">
        <v>2405</v>
      </c>
      <c r="G9" s="18" t="s">
        <v>2406</v>
      </c>
      <c r="H9" s="10"/>
    </row>
    <row r="10" customFormat="false" ht="12.75" hidden="false" customHeight="false" outlineLevel="0" collapsed="false">
      <c r="B10" s="11" t="s">
        <v>2407</v>
      </c>
      <c r="C10" s="17" t="s">
        <v>2408</v>
      </c>
      <c r="D10" s="10"/>
      <c r="E10" s="0"/>
      <c r="F10" s="8"/>
      <c r="G10" s="19"/>
      <c r="H10" s="10"/>
    </row>
    <row r="11" customFormat="false" ht="12.75" hidden="false" customHeight="false" outlineLevel="0" collapsed="false">
      <c r="B11" s="20"/>
      <c r="C11" s="21"/>
      <c r="D11" s="22"/>
      <c r="E11" s="0"/>
      <c r="F11" s="20"/>
      <c r="G11" s="21"/>
      <c r="H11" s="22"/>
    </row>
    <row r="12" customFormat="false" ht="12.75" hidden="false" customHeight="false" outlineLevel="0" collapsed="false">
      <c r="B12" s="23"/>
      <c r="C12" s="23"/>
      <c r="D12" s="23"/>
      <c r="E12" s="23"/>
      <c r="F12" s="0"/>
      <c r="G12" s="0"/>
      <c r="H12" s="0"/>
    </row>
    <row r="13" customFormat="false" ht="12.75" hidden="false" customHeight="false" outlineLevel="0" collapsed="false">
      <c r="B13" s="24"/>
      <c r="C13" s="25"/>
      <c r="D13" s="26"/>
      <c r="F13" s="27" t="s">
        <v>2409</v>
      </c>
      <c r="G13" s="27" t="n">
        <f aca="false">IF(ISERROR(MATCH(C4,lang_list,0)),1,MATCH(C4,lang_list,0))</f>
        <v>19</v>
      </c>
      <c r="H13" s="28"/>
    </row>
    <row r="14" customFormat="false" ht="16.5" hidden="false" customHeight="false" outlineLevel="0" collapsed="false">
      <c r="B14" s="8"/>
      <c r="C14" s="29" t="s">
        <v>2406</v>
      </c>
      <c r="D14" s="10"/>
      <c r="F14" s="27" t="s">
        <v>2410</v>
      </c>
      <c r="G14" s="30" t="n">
        <f aca="false">TIME(VLOOKUP(C8,F16:G39,2,0),VLOOKUP(C10,F41:G44,2,0),0)+IF(C6="Yes",TIME(1,0,0),0)</f>
        <v>0.541666666666667</v>
      </c>
      <c r="H14" s="28"/>
    </row>
    <row r="15" customFormat="false" ht="12.75" hidden="false" customHeight="false" outlineLevel="0" collapsed="false">
      <c r="B15" s="31" t="str">
        <f aca="false">INDEX(T,52,lang)</f>
        <v>Németország</v>
      </c>
      <c r="C15" s="32" t="n">
        <v>40236</v>
      </c>
      <c r="D15" s="10"/>
      <c r="F15" s="27"/>
      <c r="G15" s="27"/>
      <c r="H15" s="28"/>
    </row>
    <row r="16" customFormat="false" ht="12.75" hidden="false" customHeight="false" outlineLevel="0" collapsed="false">
      <c r="B16" s="31" t="str">
        <f aca="false">INDEX(T,40,lang)</f>
        <v>Spanyolország</v>
      </c>
      <c r="C16" s="33" t="n">
        <v>37962</v>
      </c>
      <c r="D16" s="10"/>
      <c r="F16" s="27" t="s">
        <v>2411</v>
      </c>
      <c r="G16" s="27" t="n">
        <v>0</v>
      </c>
      <c r="H16" s="28"/>
    </row>
    <row r="17" customFormat="false" ht="12.75" hidden="false" customHeight="false" outlineLevel="0" collapsed="false">
      <c r="B17" s="31" t="str">
        <f aca="false">INDEX(T,66,lang)</f>
        <v>Anglia</v>
      </c>
      <c r="C17" s="33" t="n">
        <v>35963</v>
      </c>
      <c r="D17" s="10"/>
      <c r="F17" s="27" t="s">
        <v>2412</v>
      </c>
      <c r="G17" s="27" t="n">
        <v>1</v>
      </c>
      <c r="H17" s="28"/>
    </row>
    <row r="18" customFormat="false" ht="12.75" hidden="false" customHeight="false" outlineLevel="0" collapsed="false">
      <c r="B18" s="31" t="str">
        <f aca="false">INDEX(T,42,lang)</f>
        <v>Portugália</v>
      </c>
      <c r="C18" s="33" t="n">
        <v>35138</v>
      </c>
      <c r="D18" s="10"/>
      <c r="F18" s="27" t="s">
        <v>2413</v>
      </c>
      <c r="G18" s="27" t="n">
        <v>2</v>
      </c>
      <c r="H18" s="28"/>
    </row>
    <row r="19" customFormat="false" ht="12.75" hidden="false" customHeight="false" outlineLevel="0" collapsed="false">
      <c r="B19" s="31" t="str">
        <f aca="false">INDEX(T,67,lang)</f>
        <v>Belgium</v>
      </c>
      <c r="C19" s="33" t="n">
        <v>34442</v>
      </c>
      <c r="D19" s="10"/>
      <c r="F19" s="27" t="s">
        <v>2414</v>
      </c>
      <c r="G19" s="27" t="n">
        <v>3</v>
      </c>
      <c r="H19" s="28"/>
    </row>
    <row r="20" customFormat="false" ht="12.75" hidden="false" customHeight="false" outlineLevel="0" collapsed="false">
      <c r="B20" s="31" t="str">
        <f aca="false">INDEX(T,41,lang)</f>
        <v>Olaszország</v>
      </c>
      <c r="C20" s="33" t="n">
        <v>34345</v>
      </c>
      <c r="D20" s="10"/>
      <c r="F20" s="27" t="s">
        <v>2415</v>
      </c>
      <c r="G20" s="27" t="n">
        <v>4</v>
      </c>
      <c r="H20" s="28"/>
    </row>
    <row r="21" customFormat="false" ht="12.75" hidden="false" customHeight="false" outlineLevel="0" collapsed="false">
      <c r="B21" s="31" t="str">
        <f aca="false">INDEX(T,62,lang)</f>
        <v>Franciaország</v>
      </c>
      <c r="C21" s="33" t="n">
        <v>33599</v>
      </c>
      <c r="D21" s="10"/>
      <c r="F21" s="27" t="s">
        <v>2416</v>
      </c>
      <c r="G21" s="27" t="n">
        <v>5</v>
      </c>
      <c r="H21" s="28"/>
    </row>
    <row r="22" customFormat="false" ht="12.75" hidden="false" customHeight="false" outlineLevel="0" collapsed="false">
      <c r="B22" s="31" t="str">
        <f aca="false">INDEX(T,69,lang)</f>
        <v>Oroszország</v>
      </c>
      <c r="C22" s="33" t="n">
        <v>31345</v>
      </c>
      <c r="D22" s="10"/>
      <c r="F22" s="27" t="s">
        <v>2417</v>
      </c>
      <c r="G22" s="27" t="n">
        <v>6</v>
      </c>
      <c r="H22" s="28"/>
    </row>
    <row r="23" customFormat="false" ht="12.75" hidden="false" customHeight="false" outlineLevel="0" collapsed="false">
      <c r="B23" s="31" t="str">
        <f aca="false">INDEX(T,57,lang)</f>
        <v>Svájc</v>
      </c>
      <c r="C23" s="33" t="n">
        <v>31254</v>
      </c>
      <c r="D23" s="10"/>
      <c r="F23" s="27" t="s">
        <v>2418</v>
      </c>
      <c r="G23" s="27" t="n">
        <v>7</v>
      </c>
      <c r="H23" s="28"/>
    </row>
    <row r="24" customFormat="false" ht="12.75" hidden="false" customHeight="false" outlineLevel="0" collapsed="false">
      <c r="B24" s="31" t="str">
        <f aca="false">INDEX(T,61,lang)</f>
        <v>Ausztria</v>
      </c>
      <c r="C24" s="33" t="n">
        <v>30932</v>
      </c>
      <c r="D24" s="10"/>
      <c r="F24" s="27" t="s">
        <v>2419</v>
      </c>
      <c r="G24" s="27" t="n">
        <v>8</v>
      </c>
      <c r="H24" s="28"/>
    </row>
    <row r="25" customFormat="false" ht="12.75" hidden="false" customHeight="false" outlineLevel="0" collapsed="false">
      <c r="B25" s="31" t="str">
        <f aca="false">INDEX(T,55,lang)</f>
        <v>Horvátország</v>
      </c>
      <c r="C25" s="33" t="n">
        <v>30642</v>
      </c>
      <c r="D25" s="10"/>
      <c r="F25" s="27" t="s">
        <v>2420</v>
      </c>
      <c r="G25" s="27" t="n">
        <v>9</v>
      </c>
      <c r="H25" s="28"/>
    </row>
    <row r="26" customFormat="false" ht="12.75" hidden="false" customHeight="false" outlineLevel="0" collapsed="false">
      <c r="B26" s="31" t="str">
        <f aca="false">INDEX(T,45,lang)</f>
        <v>Ukrajna</v>
      </c>
      <c r="C26" s="33" t="n">
        <v>30313</v>
      </c>
      <c r="D26" s="10"/>
      <c r="F26" s="27" t="s">
        <v>2421</v>
      </c>
      <c r="G26" s="27" t="n">
        <v>10</v>
      </c>
      <c r="H26" s="28"/>
    </row>
    <row r="27" customFormat="false" ht="12.75" hidden="false" customHeight="false" outlineLevel="0" collapsed="false">
      <c r="B27" s="31" t="str">
        <f aca="false">INDEX(T,58,lang)</f>
        <v>Cseh Köztársaság</v>
      </c>
      <c r="C27" s="33" t="n">
        <v>29403</v>
      </c>
      <c r="D27" s="10"/>
      <c r="F27" s="27" t="s">
        <v>2422</v>
      </c>
      <c r="G27" s="27" t="n">
        <v>11</v>
      </c>
      <c r="H27" s="28"/>
    </row>
    <row r="28" customFormat="false" ht="12.75" hidden="false" customHeight="false" outlineLevel="0" collapsed="false">
      <c r="B28" s="31" t="str">
        <f aca="false">INDEX(T,68,lang)</f>
        <v>Svédország</v>
      </c>
      <c r="C28" s="33" t="n">
        <v>29028</v>
      </c>
      <c r="D28" s="10"/>
      <c r="F28" s="27" t="s">
        <v>2402</v>
      </c>
      <c r="G28" s="27" t="n">
        <v>12</v>
      </c>
      <c r="H28" s="28"/>
    </row>
    <row r="29" customFormat="false" ht="12.75" hidden="false" customHeight="false" outlineLevel="0" collapsed="false">
      <c r="B29" s="31" t="str">
        <f aca="false">INDEX(T,64,lang)</f>
        <v>Lengyelország</v>
      </c>
      <c r="C29" s="33" t="n">
        <v>28306</v>
      </c>
      <c r="D29" s="10"/>
      <c r="F29" s="27" t="s">
        <v>2423</v>
      </c>
      <c r="G29" s="27" t="n">
        <v>13</v>
      </c>
      <c r="H29" s="28"/>
    </row>
    <row r="30" customFormat="false" ht="12.75" hidden="false" customHeight="false" outlineLevel="0" collapsed="false">
      <c r="B30" s="31" t="str">
        <f aca="false">INDEX(T,39,lang)</f>
        <v>Románia</v>
      </c>
      <c r="C30" s="33" t="n">
        <v>28038</v>
      </c>
      <c r="D30" s="10"/>
      <c r="F30" s="27" t="s">
        <v>2424</v>
      </c>
      <c r="G30" s="27" t="n">
        <v>14</v>
      </c>
      <c r="H30" s="28"/>
    </row>
    <row r="31" customFormat="false" ht="12.75" hidden="false" customHeight="false" outlineLevel="0" collapsed="false">
      <c r="B31" s="31" t="str">
        <f aca="false">INDEX(T,51,lang)</f>
        <v>Szlovákia</v>
      </c>
      <c r="C31" s="33" t="n">
        <v>27171</v>
      </c>
      <c r="D31" s="10"/>
      <c r="F31" s="27" t="s">
        <v>2425</v>
      </c>
      <c r="G31" s="27" t="n">
        <v>15</v>
      </c>
      <c r="H31" s="28"/>
    </row>
    <row r="32" customFormat="false" ht="12.75" hidden="false" customHeight="false" outlineLevel="0" collapsed="false">
      <c r="B32" s="31" t="str">
        <f aca="false">INDEX(T,43,lang)</f>
        <v>Magyarország</v>
      </c>
      <c r="C32" s="33" t="n">
        <v>27142</v>
      </c>
      <c r="D32" s="10"/>
      <c r="F32" s="27" t="s">
        <v>2426</v>
      </c>
      <c r="G32" s="27" t="n">
        <v>16</v>
      </c>
      <c r="H32" s="28"/>
    </row>
    <row r="33" customFormat="false" ht="12.75" hidden="false" customHeight="false" outlineLevel="0" collapsed="false">
      <c r="B33" s="31" t="str">
        <f aca="false">INDEX(T,46,lang)</f>
        <v>Törökország</v>
      </c>
      <c r="C33" s="33" t="n">
        <v>27033</v>
      </c>
      <c r="D33" s="10"/>
      <c r="F33" s="27" t="s">
        <v>2427</v>
      </c>
      <c r="G33" s="27" t="n">
        <v>17</v>
      </c>
      <c r="H33" s="28"/>
    </row>
    <row r="34" customFormat="false" ht="12.75" hidden="false" customHeight="false" outlineLevel="0" collapsed="false">
      <c r="B34" s="31" t="str">
        <f aca="false">INDEX(T,59,lang)</f>
        <v>Ír Köztársaság</v>
      </c>
      <c r="C34" s="33" t="n">
        <v>26902</v>
      </c>
      <c r="D34" s="10"/>
      <c r="F34" s="27" t="s">
        <v>2428</v>
      </c>
      <c r="G34" s="27" t="n">
        <v>18</v>
      </c>
      <c r="H34" s="28"/>
    </row>
    <row r="35" customFormat="false" ht="12.75" hidden="false" customHeight="false" outlineLevel="0" collapsed="false">
      <c r="B35" s="31" t="str">
        <f aca="false">INDEX(T,60,lang)</f>
        <v>Izland</v>
      </c>
      <c r="C35" s="33" t="n">
        <v>25388</v>
      </c>
      <c r="D35" s="10"/>
      <c r="F35" s="27" t="s">
        <v>2429</v>
      </c>
      <c r="G35" s="27" t="n">
        <v>19</v>
      </c>
      <c r="H35" s="28"/>
    </row>
    <row r="36" customFormat="false" ht="12.75" hidden="false" customHeight="false" outlineLevel="0" collapsed="false">
      <c r="B36" s="31" t="str">
        <f aca="false">INDEX(T,54,lang)</f>
        <v>Wales</v>
      </c>
      <c r="C36" s="33" t="n">
        <v>24521</v>
      </c>
      <c r="D36" s="10"/>
      <c r="F36" s="27" t="s">
        <v>2430</v>
      </c>
      <c r="G36" s="27" t="n">
        <v>20</v>
      </c>
      <c r="H36" s="28"/>
    </row>
    <row r="37" customFormat="false" ht="12.75" hidden="false" customHeight="false" outlineLevel="0" collapsed="false">
      <c r="B37" s="31" t="str">
        <f aca="false">INDEX(T,38,lang)</f>
        <v>Albánia</v>
      </c>
      <c r="C37" s="33" t="n">
        <v>23216</v>
      </c>
      <c r="D37" s="10"/>
      <c r="F37" s="27" t="s">
        <v>2431</v>
      </c>
      <c r="G37" s="27" t="n">
        <v>21</v>
      </c>
      <c r="H37" s="28"/>
    </row>
    <row r="38" customFormat="false" ht="12.75" hidden="false" customHeight="false" outlineLevel="0" collapsed="false">
      <c r="B38" s="31" t="str">
        <f aca="false">INDEX(T,56,lang)</f>
        <v>Észak-Írország</v>
      </c>
      <c r="C38" s="34" t="n">
        <v>22961</v>
      </c>
      <c r="D38" s="10"/>
      <c r="F38" s="27" t="s">
        <v>2432</v>
      </c>
      <c r="G38" s="27" t="n">
        <v>22</v>
      </c>
      <c r="H38" s="28"/>
    </row>
    <row r="39" customFormat="false" ht="12.75" hidden="true" customHeight="false" outlineLevel="0" collapsed="false">
      <c r="B39" s="31"/>
      <c r="C39" s="35"/>
      <c r="D39" s="10"/>
      <c r="F39" s="27" t="s">
        <v>2433</v>
      </c>
      <c r="G39" s="27" t="n">
        <v>23</v>
      </c>
      <c r="H39" s="28"/>
    </row>
    <row r="40" customFormat="false" ht="12.75" hidden="true" customHeight="false" outlineLevel="0" collapsed="false">
      <c r="B40" s="31"/>
      <c r="C40" s="35"/>
      <c r="D40" s="10"/>
      <c r="F40" s="27"/>
      <c r="G40" s="27"/>
      <c r="H40" s="28"/>
    </row>
    <row r="41" customFormat="false" ht="12.75" hidden="true" customHeight="false" outlineLevel="0" collapsed="false">
      <c r="B41" s="31"/>
      <c r="C41" s="35"/>
      <c r="D41" s="10"/>
      <c r="F41" s="27" t="s">
        <v>2408</v>
      </c>
      <c r="G41" s="27" t="n">
        <v>0</v>
      </c>
      <c r="H41" s="28"/>
    </row>
    <row r="42" customFormat="false" ht="12.75" hidden="true" customHeight="false" outlineLevel="0" collapsed="false">
      <c r="B42" s="31"/>
      <c r="C42" s="35"/>
      <c r="D42" s="10"/>
      <c r="F42" s="27" t="s">
        <v>2434</v>
      </c>
      <c r="G42" s="27" t="n">
        <v>15</v>
      </c>
      <c r="H42" s="28"/>
    </row>
    <row r="43" customFormat="false" ht="12.75" hidden="true" customHeight="false" outlineLevel="0" collapsed="false">
      <c r="B43" s="31"/>
      <c r="C43" s="35"/>
      <c r="D43" s="10"/>
      <c r="F43" s="27" t="s">
        <v>2435</v>
      </c>
      <c r="G43" s="27" t="n">
        <v>30</v>
      </c>
      <c r="H43" s="28"/>
    </row>
    <row r="44" customFormat="false" ht="12.75" hidden="true" customHeight="false" outlineLevel="0" collapsed="false">
      <c r="B44" s="31"/>
      <c r="C44" s="35"/>
      <c r="D44" s="10"/>
      <c r="F44" s="27" t="s">
        <v>2436</v>
      </c>
      <c r="G44" s="27" t="n">
        <v>45</v>
      </c>
      <c r="H44" s="28"/>
    </row>
    <row r="45" customFormat="false" ht="12.75" hidden="true" customHeight="false" outlineLevel="0" collapsed="false">
      <c r="B45" s="31"/>
      <c r="C45" s="35"/>
      <c r="D45" s="10"/>
      <c r="F45" s="27"/>
      <c r="G45" s="27"/>
      <c r="H45" s="28"/>
    </row>
    <row r="46" customFormat="false" ht="12.75" hidden="true" customHeight="false" outlineLevel="0" collapsed="false">
      <c r="B46" s="31"/>
      <c r="C46" s="36"/>
      <c r="D46" s="10"/>
      <c r="F46" s="28" t="s">
        <v>2437</v>
      </c>
      <c r="G46" s="30" t="n">
        <f aca="false">IF(G4="Type 2",0,1)</f>
        <v>1</v>
      </c>
      <c r="H46" s="28"/>
    </row>
    <row r="47" customFormat="false" ht="12.75" hidden="false" customHeight="false" outlineLevel="0" collapsed="false">
      <c r="B47" s="20"/>
      <c r="C47" s="21"/>
      <c r="D47" s="22"/>
      <c r="F47" s="28"/>
      <c r="G47" s="28"/>
      <c r="H47" s="28"/>
    </row>
  </sheetData>
  <sheetProtection sheet="true" objects="true" scenarios="true"/>
  <dataValidations count="4">
    <dataValidation allowBlank="true" operator="between" showDropDown="false" showErrorMessage="true" showInputMessage="true" sqref="C6" type="list">
      <formula1>"Yes,No"</formula1>
      <formula2>0</formula2>
    </dataValidation>
    <dataValidation allowBlank="true" operator="between" showDropDown="false" showErrorMessage="true" showInputMessage="true" sqref="C4" type="list">
      <formula1>lang_list</formula1>
      <formula2>0</formula2>
    </dataValidation>
    <dataValidation allowBlank="true" operator="between" prompt="Use drop-down List" promptTitle="Select GTM-time" showDropDown="false" showErrorMessage="true" showInputMessage="true" sqref="C8" type="list">
      <formula1>$F$16:$F$39</formula1>
      <formula2>0</formula2>
    </dataValidation>
    <dataValidation allowBlank="true" operator="between" prompt="Use drop-down List" promptTitle="Select Minutes" showDropDown="false" showErrorMessage="true" showInputMessage="true" sqref="C10" type="list">
      <formula1>$F$41:$F$44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2.75"/>
  <cols>
    <col collapsed="false" hidden="false" max="1" min="1" style="0" width="1.53571428571429"/>
    <col collapsed="false" hidden="false" max="2" min="2" style="0" width="8.26785714285714"/>
    <col collapsed="false" hidden="false" max="6" min="3" style="37" width="5.66964285714286"/>
    <col collapsed="false" hidden="false" max="7" min="7" style="0" width="1.53571428571429"/>
    <col collapsed="false" hidden="false" max="11" min="8" style="0" width="15.8258928571429"/>
    <col collapsed="false" hidden="false" max="12" min="12" style="0" width="1.53571428571429"/>
    <col collapsed="false" hidden="false" max="1025" min="13" style="0" width="8.26785714285714"/>
  </cols>
  <sheetData>
    <row r="1" customFormat="false" ht="34.5" hidden="false" customHeight="true" outlineLevel="0" collapsed="false">
      <c r="B1" s="38" t="s">
        <v>2438</v>
      </c>
      <c r="C1" s="38"/>
      <c r="D1" s="38"/>
      <c r="E1" s="38"/>
      <c r="F1" s="38"/>
      <c r="G1" s="38"/>
      <c r="H1" s="38"/>
      <c r="I1" s="38"/>
      <c r="J1" s="38"/>
      <c r="K1" s="38"/>
    </row>
    <row r="2" customFormat="false" ht="8.25" hidden="false" customHeight="true" outlineLevel="0" collapsed="false">
      <c r="C2" s="0"/>
      <c r="D2" s="0"/>
      <c r="E2" s="0"/>
      <c r="F2" s="0"/>
    </row>
    <row r="3" customFormat="false" ht="12.75" hidden="false" customHeight="false" outlineLevel="0" collapsed="false">
      <c r="B3" s="1" t="s">
        <v>2439</v>
      </c>
      <c r="C3" s="39" t="str">
        <f aca="false">'UEFA EURO 2016'!AA50</f>
        <v>BCEF</v>
      </c>
      <c r="D3" s="39"/>
      <c r="E3" s="39"/>
      <c r="F3" s="39"/>
    </row>
    <row r="4" customFormat="false" ht="8.25" hidden="false" customHeight="true" outlineLevel="0" collapsed="false">
      <c r="C4" s="0"/>
      <c r="D4" s="0"/>
      <c r="E4" s="0"/>
      <c r="F4" s="0"/>
    </row>
    <row r="5" customFormat="false" ht="12.75" hidden="false" customHeight="false" outlineLevel="0" collapsed="false">
      <c r="C5" s="40" t="s">
        <v>2440</v>
      </c>
      <c r="D5" s="40" t="s">
        <v>2441</v>
      </c>
      <c r="E5" s="40" t="s">
        <v>2442</v>
      </c>
      <c r="F5" s="40" t="s">
        <v>2443</v>
      </c>
    </row>
    <row r="6" customFormat="false" ht="12.75" hidden="false" customHeight="false" outlineLevel="0" collapsed="false">
      <c r="B6" s="41" t="s">
        <v>2444</v>
      </c>
      <c r="C6" s="42" t="s">
        <v>2445</v>
      </c>
      <c r="D6" s="43" t="s">
        <v>2446</v>
      </c>
      <c r="E6" s="43" t="s">
        <v>2447</v>
      </c>
      <c r="F6" s="44" t="s">
        <v>2448</v>
      </c>
      <c r="H6" s="45" t="str">
        <f aca="false">'UEFA EURO 2016'!AD53</f>
        <v>Észak-Írország</v>
      </c>
      <c r="I6" s="43" t="str">
        <f aca="false">'UEFA EURO 2016'!AE53</f>
        <v>Törökország</v>
      </c>
      <c r="J6" s="43" t="str">
        <f aca="false">'UEFA EURO 2016'!AF53</f>
        <v>Albánia</v>
      </c>
      <c r="K6" s="44" t="str">
        <f aca="false">'UEFA EURO 2016'!AG53</f>
        <v>Szlovákia</v>
      </c>
    </row>
    <row r="7" customFormat="false" ht="12.75" hidden="false" customHeight="false" outlineLevel="0" collapsed="false">
      <c r="B7" s="46" t="s">
        <v>2449</v>
      </c>
      <c r="C7" s="47" t="s">
        <v>2445</v>
      </c>
      <c r="D7" s="48" t="s">
        <v>2447</v>
      </c>
      <c r="E7" s="48" t="s">
        <v>2448</v>
      </c>
      <c r="F7" s="49" t="s">
        <v>2450</v>
      </c>
      <c r="H7" s="50" t="str">
        <f aca="false">'UEFA EURO 2016'!AD54</f>
        <v>Észak-Írország</v>
      </c>
      <c r="I7" s="48" t="str">
        <f aca="false">'UEFA EURO 2016'!AE54</f>
        <v>Albánia</v>
      </c>
      <c r="J7" s="48" t="str">
        <f aca="false">'UEFA EURO 2016'!AF54</f>
        <v>Szlovákia</v>
      </c>
      <c r="K7" s="49" t="str">
        <f aca="false">'UEFA EURO 2016'!AG54</f>
        <v>Ír Köztársaság</v>
      </c>
    </row>
    <row r="8" customFormat="false" ht="12.75" hidden="false" customHeight="false" outlineLevel="0" collapsed="false">
      <c r="B8" s="46" t="s">
        <v>2451</v>
      </c>
      <c r="C8" s="47" t="s">
        <v>2445</v>
      </c>
      <c r="D8" s="48" t="s">
        <v>2447</v>
      </c>
      <c r="E8" s="48" t="s">
        <v>2448</v>
      </c>
      <c r="F8" s="49" t="s">
        <v>2452</v>
      </c>
      <c r="H8" s="50" t="str">
        <f aca="false">'UEFA EURO 2016'!AD55</f>
        <v>Észak-Írország</v>
      </c>
      <c r="I8" s="48" t="str">
        <f aca="false">'UEFA EURO 2016'!AE55</f>
        <v>Albánia</v>
      </c>
      <c r="J8" s="48" t="str">
        <f aca="false">'UEFA EURO 2016'!AF55</f>
        <v>Szlovákia</v>
      </c>
      <c r="K8" s="49" t="str">
        <f aca="false">'UEFA EURO 2016'!AG55</f>
        <v>Portugália</v>
      </c>
    </row>
    <row r="9" customFormat="false" ht="12.75" hidden="false" customHeight="false" outlineLevel="0" collapsed="false">
      <c r="B9" s="46" t="s">
        <v>2453</v>
      </c>
      <c r="C9" s="47" t="s">
        <v>2446</v>
      </c>
      <c r="D9" s="48" t="s">
        <v>2447</v>
      </c>
      <c r="E9" s="48" t="s">
        <v>2448</v>
      </c>
      <c r="F9" s="49" t="s">
        <v>2450</v>
      </c>
      <c r="H9" s="50" t="str">
        <f aca="false">'UEFA EURO 2016'!AD56</f>
        <v>Törökország</v>
      </c>
      <c r="I9" s="48" t="str">
        <f aca="false">'UEFA EURO 2016'!AE56</f>
        <v>Albánia</v>
      </c>
      <c r="J9" s="48" t="str">
        <f aca="false">'UEFA EURO 2016'!AF56</f>
        <v>Szlovákia</v>
      </c>
      <c r="K9" s="49" t="str">
        <f aca="false">'UEFA EURO 2016'!AG56</f>
        <v>Ír Köztársaság</v>
      </c>
    </row>
    <row r="10" customFormat="false" ht="12.75" hidden="false" customHeight="false" outlineLevel="0" collapsed="false">
      <c r="B10" s="46" t="s">
        <v>2454</v>
      </c>
      <c r="C10" s="47" t="s">
        <v>2446</v>
      </c>
      <c r="D10" s="48" t="s">
        <v>2447</v>
      </c>
      <c r="E10" s="48" t="s">
        <v>2448</v>
      </c>
      <c r="F10" s="49" t="s">
        <v>2452</v>
      </c>
      <c r="H10" s="50" t="str">
        <f aca="false">'UEFA EURO 2016'!AD57</f>
        <v>Törökország</v>
      </c>
      <c r="I10" s="48" t="str">
        <f aca="false">'UEFA EURO 2016'!AE57</f>
        <v>Albánia</v>
      </c>
      <c r="J10" s="48" t="str">
        <f aca="false">'UEFA EURO 2016'!AF57</f>
        <v>Szlovákia</v>
      </c>
      <c r="K10" s="49" t="str">
        <f aca="false">'UEFA EURO 2016'!AG57</f>
        <v>Portugália</v>
      </c>
    </row>
    <row r="11" customFormat="false" ht="12.75" hidden="false" customHeight="false" outlineLevel="0" collapsed="false">
      <c r="B11" s="46" t="s">
        <v>2455</v>
      </c>
      <c r="C11" s="47" t="s">
        <v>2450</v>
      </c>
      <c r="D11" s="48" t="s">
        <v>2447</v>
      </c>
      <c r="E11" s="48" t="s">
        <v>2448</v>
      </c>
      <c r="F11" s="49" t="s">
        <v>2452</v>
      </c>
      <c r="H11" s="50" t="str">
        <f aca="false">'UEFA EURO 2016'!AD58</f>
        <v>Ír Köztársaság</v>
      </c>
      <c r="I11" s="48" t="str">
        <f aca="false">'UEFA EURO 2016'!AE58</f>
        <v>Albánia</v>
      </c>
      <c r="J11" s="48" t="str">
        <f aca="false">'UEFA EURO 2016'!AF58</f>
        <v>Szlovákia</v>
      </c>
      <c r="K11" s="49" t="str">
        <f aca="false">'UEFA EURO 2016'!AG58</f>
        <v>Portugália</v>
      </c>
    </row>
    <row r="12" customFormat="false" ht="12.75" hidden="false" customHeight="false" outlineLevel="0" collapsed="false">
      <c r="B12" s="46" t="s">
        <v>2456</v>
      </c>
      <c r="C12" s="47" t="s">
        <v>2445</v>
      </c>
      <c r="D12" s="48" t="s">
        <v>2446</v>
      </c>
      <c r="E12" s="48" t="s">
        <v>2447</v>
      </c>
      <c r="F12" s="49" t="s">
        <v>2450</v>
      </c>
      <c r="H12" s="50" t="str">
        <f aca="false">'UEFA EURO 2016'!AD59</f>
        <v>Észak-Írország</v>
      </c>
      <c r="I12" s="48" t="str">
        <f aca="false">'UEFA EURO 2016'!AE59</f>
        <v>Törökország</v>
      </c>
      <c r="J12" s="48" t="str">
        <f aca="false">'UEFA EURO 2016'!AF59</f>
        <v>Albánia</v>
      </c>
      <c r="K12" s="49" t="str">
        <f aca="false">'UEFA EURO 2016'!AG59</f>
        <v>Ír Köztársaság</v>
      </c>
    </row>
    <row r="13" customFormat="false" ht="12.75" hidden="false" customHeight="false" outlineLevel="0" collapsed="false">
      <c r="B13" s="46" t="s">
        <v>2457</v>
      </c>
      <c r="C13" s="47" t="s">
        <v>2445</v>
      </c>
      <c r="D13" s="48" t="s">
        <v>2446</v>
      </c>
      <c r="E13" s="48" t="s">
        <v>2447</v>
      </c>
      <c r="F13" s="49" t="s">
        <v>2452</v>
      </c>
      <c r="H13" s="50" t="str">
        <f aca="false">'UEFA EURO 2016'!AD60</f>
        <v>Észak-Írország</v>
      </c>
      <c r="I13" s="48" t="str">
        <f aca="false">'UEFA EURO 2016'!AE60</f>
        <v>Törökország</v>
      </c>
      <c r="J13" s="48" t="str">
        <f aca="false">'UEFA EURO 2016'!AF60</f>
        <v>Albánia</v>
      </c>
      <c r="K13" s="49" t="str">
        <f aca="false">'UEFA EURO 2016'!AG60</f>
        <v>Portugália</v>
      </c>
    </row>
    <row r="14" customFormat="false" ht="12.75" hidden="false" customHeight="false" outlineLevel="0" collapsed="false">
      <c r="B14" s="46" t="s">
        <v>2458</v>
      </c>
      <c r="C14" s="47" t="s">
        <v>2445</v>
      </c>
      <c r="D14" s="48" t="s">
        <v>2447</v>
      </c>
      <c r="E14" s="48" t="s">
        <v>2452</v>
      </c>
      <c r="F14" s="49" t="s">
        <v>2450</v>
      </c>
      <c r="H14" s="50" t="str">
        <f aca="false">'UEFA EURO 2016'!AD61</f>
        <v>Észak-Írország</v>
      </c>
      <c r="I14" s="48" t="str">
        <f aca="false">'UEFA EURO 2016'!AE61</f>
        <v>Albánia</v>
      </c>
      <c r="J14" s="48" t="str">
        <f aca="false">'UEFA EURO 2016'!AF61</f>
        <v>Portugália</v>
      </c>
      <c r="K14" s="49" t="str">
        <f aca="false">'UEFA EURO 2016'!AG61</f>
        <v>Ír Köztársaság</v>
      </c>
    </row>
    <row r="15" customFormat="false" ht="12.75" hidden="false" customHeight="false" outlineLevel="0" collapsed="false">
      <c r="B15" s="46" t="s">
        <v>2459</v>
      </c>
      <c r="C15" s="47" t="s">
        <v>2446</v>
      </c>
      <c r="D15" s="48" t="s">
        <v>2447</v>
      </c>
      <c r="E15" s="48" t="s">
        <v>2452</v>
      </c>
      <c r="F15" s="49" t="s">
        <v>2450</v>
      </c>
      <c r="H15" s="50" t="str">
        <f aca="false">'UEFA EURO 2016'!AD62</f>
        <v>Törökország</v>
      </c>
      <c r="I15" s="48" t="str">
        <f aca="false">'UEFA EURO 2016'!AE62</f>
        <v>Albánia</v>
      </c>
      <c r="J15" s="48" t="str">
        <f aca="false">'UEFA EURO 2016'!AF62</f>
        <v>Portugália</v>
      </c>
      <c r="K15" s="49" t="str">
        <f aca="false">'UEFA EURO 2016'!AG62</f>
        <v>Ír Köztársaság</v>
      </c>
    </row>
    <row r="16" customFormat="false" ht="12.75" hidden="false" customHeight="false" outlineLevel="0" collapsed="false">
      <c r="B16" s="46" t="s">
        <v>2460</v>
      </c>
      <c r="C16" s="47" t="s">
        <v>2445</v>
      </c>
      <c r="D16" s="48" t="s">
        <v>2446</v>
      </c>
      <c r="E16" s="48" t="s">
        <v>2448</v>
      </c>
      <c r="F16" s="49" t="s">
        <v>2450</v>
      </c>
      <c r="H16" s="50" t="str">
        <f aca="false">'UEFA EURO 2016'!AD63</f>
        <v>Észak-Írország</v>
      </c>
      <c r="I16" s="48" t="str">
        <f aca="false">'UEFA EURO 2016'!AE63</f>
        <v>Törökország</v>
      </c>
      <c r="J16" s="48" t="str">
        <f aca="false">'UEFA EURO 2016'!AF63</f>
        <v>Szlovákia</v>
      </c>
      <c r="K16" s="49" t="str">
        <f aca="false">'UEFA EURO 2016'!AG63</f>
        <v>Ír Köztársaság</v>
      </c>
    </row>
    <row r="17" customFormat="false" ht="12.75" hidden="false" customHeight="false" outlineLevel="0" collapsed="false">
      <c r="B17" s="46" t="s">
        <v>2461</v>
      </c>
      <c r="C17" s="47" t="s">
        <v>2445</v>
      </c>
      <c r="D17" s="48" t="s">
        <v>2446</v>
      </c>
      <c r="E17" s="48" t="s">
        <v>2448</v>
      </c>
      <c r="F17" s="49" t="s">
        <v>2452</v>
      </c>
      <c r="H17" s="50" t="str">
        <f aca="false">'UEFA EURO 2016'!AD64</f>
        <v>Észak-Írország</v>
      </c>
      <c r="I17" s="48" t="str">
        <f aca="false">'UEFA EURO 2016'!AE64</f>
        <v>Törökország</v>
      </c>
      <c r="J17" s="48" t="str">
        <f aca="false">'UEFA EURO 2016'!AF64</f>
        <v>Szlovákia</v>
      </c>
      <c r="K17" s="49" t="str">
        <f aca="false">'UEFA EURO 2016'!AG64</f>
        <v>Portugália</v>
      </c>
    </row>
    <row r="18" customFormat="false" ht="12.75" hidden="false" customHeight="false" outlineLevel="0" collapsed="false">
      <c r="B18" s="46" t="s">
        <v>2462</v>
      </c>
      <c r="C18" s="47" t="s">
        <v>2450</v>
      </c>
      <c r="D18" s="48" t="s">
        <v>2445</v>
      </c>
      <c r="E18" s="48" t="s">
        <v>2448</v>
      </c>
      <c r="F18" s="49" t="s">
        <v>2452</v>
      </c>
      <c r="H18" s="50" t="str">
        <f aca="false">'UEFA EURO 2016'!AD65</f>
        <v>Ír Köztársaság</v>
      </c>
      <c r="I18" s="48" t="str">
        <f aca="false">'UEFA EURO 2016'!AE65</f>
        <v>Észak-Írország</v>
      </c>
      <c r="J18" s="48" t="str">
        <f aca="false">'UEFA EURO 2016'!AF65</f>
        <v>Szlovákia</v>
      </c>
      <c r="K18" s="49" t="str">
        <f aca="false">'UEFA EURO 2016'!AG65</f>
        <v>Portugália</v>
      </c>
    </row>
    <row r="19" customFormat="false" ht="12.75" hidden="false" customHeight="false" outlineLevel="0" collapsed="false">
      <c r="B19" s="46" t="s">
        <v>2463</v>
      </c>
      <c r="C19" s="47" t="s">
        <v>2450</v>
      </c>
      <c r="D19" s="48" t="s">
        <v>2446</v>
      </c>
      <c r="E19" s="48" t="s">
        <v>2448</v>
      </c>
      <c r="F19" s="49" t="s">
        <v>2452</v>
      </c>
      <c r="H19" s="50" t="str">
        <f aca="false">'UEFA EURO 2016'!AD66</f>
        <v>Ír Köztársaság</v>
      </c>
      <c r="I19" s="48" t="str">
        <f aca="false">'UEFA EURO 2016'!AE66</f>
        <v>Törökország</v>
      </c>
      <c r="J19" s="48" t="str">
        <f aca="false">'UEFA EURO 2016'!AF66</f>
        <v>Szlovákia</v>
      </c>
      <c r="K19" s="49" t="str">
        <f aca="false">'UEFA EURO 2016'!AG66</f>
        <v>Portugália</v>
      </c>
    </row>
    <row r="20" customFormat="false" ht="12.75" hidden="false" customHeight="false" outlineLevel="0" collapsed="false">
      <c r="B20" s="51" t="s">
        <v>2464</v>
      </c>
      <c r="C20" s="52" t="s">
        <v>2445</v>
      </c>
      <c r="D20" s="53" t="s">
        <v>2446</v>
      </c>
      <c r="E20" s="53" t="s">
        <v>2452</v>
      </c>
      <c r="F20" s="54" t="s">
        <v>2450</v>
      </c>
      <c r="H20" s="55" t="str">
        <f aca="false">'UEFA EURO 2016'!AD67</f>
        <v>Észak-Írország</v>
      </c>
      <c r="I20" s="53" t="str">
        <f aca="false">'UEFA EURO 2016'!AE67</f>
        <v>Törökország</v>
      </c>
      <c r="J20" s="53" t="str">
        <f aca="false">'UEFA EURO 2016'!AF67</f>
        <v>Portugália</v>
      </c>
      <c r="K20" s="54" t="str">
        <f aca="false">'UEFA EURO 2016'!AG67</f>
        <v>Ír Köztársaság</v>
      </c>
    </row>
  </sheetData>
  <sheetProtection sheet="true" objects="true" scenarios="true"/>
  <mergeCells count="2">
    <mergeCell ref="B1:K1"/>
    <mergeCell ref="C3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U77"/>
  <sheetViews>
    <sheetView windowProtection="false" showFormulas="false" showGridLines="false" showRowColHeaders="true" showZeros="true" rightToLeft="false" tabSelected="true" showOutlineSymbols="true" defaultGridColor="true" view="normal" topLeftCell="L1" colorId="64" zoomScale="100" zoomScaleNormal="100" zoomScalePageLayoutView="100" workbookViewId="0">
      <selection pane="topLeft" activeCell="BN16" activeCellId="0" sqref="BN16"/>
    </sheetView>
  </sheetViews>
  <sheetFormatPr defaultRowHeight="12.75"/>
  <cols>
    <col collapsed="false" hidden="false" max="1" min="1" style="56" width="4.48660714285714"/>
    <col collapsed="false" hidden="false" max="2" min="2" style="56" width="5.43303571428571"/>
    <col collapsed="false" hidden="false" max="3" min="3" style="56" width="11.3392857142857"/>
    <col collapsed="false" hidden="false" max="4" min="4" style="57" width="6.85267857142857"/>
    <col collapsed="false" hidden="false" max="5" min="5" style="58" width="21.8526785714286"/>
    <col collapsed="false" hidden="false" max="7" min="6" style="59" width="3.89732142857143"/>
    <col collapsed="false" hidden="false" max="8" min="8" style="60" width="21.8526785714286"/>
    <col collapsed="false" hidden="false" max="9" min="9" style="58" width="15.1205357142857"/>
    <col collapsed="false" hidden="false" max="11" min="10" style="58" width="3.54464285714286"/>
    <col collapsed="false" hidden="false" max="12" min="12" style="61" width="3.1875"/>
    <col collapsed="false" hidden="false" max="13" min="13" style="62" width="13.5848214285714"/>
    <col collapsed="false" hidden="false" max="17" min="14" style="63" width="5.31696428571429"/>
    <col collapsed="false" hidden="false" max="18" min="18" style="63" width="7.20535714285714"/>
    <col collapsed="false" hidden="false" max="19" min="19" style="63" width="6.37946428571429"/>
    <col collapsed="false" hidden="false" max="20" min="20" style="64" width="3.1875"/>
    <col collapsed="false" hidden="true" max="21" min="21" style="65" width="0"/>
    <col collapsed="false" hidden="true" max="23" min="22" style="66" width="0"/>
    <col collapsed="false" hidden="true" max="24" min="24" style="67" width="0"/>
    <col collapsed="false" hidden="true" max="26" min="25" style="65" width="0"/>
    <col collapsed="false" hidden="true" max="27" min="27" style="67" width="0"/>
    <col collapsed="false" hidden="true" max="28" min="28" style="65" width="0"/>
    <col collapsed="false" hidden="true" max="29" min="29" style="67" width="0"/>
    <col collapsed="false" hidden="true" max="39" min="30" style="65" width="0"/>
    <col collapsed="false" hidden="true" max="41" min="40" style="67" width="0"/>
    <col collapsed="false" hidden="true" max="42" min="42" style="68" width="0"/>
    <col collapsed="false" hidden="true" max="47" min="43" style="69" width="0"/>
    <col collapsed="false" hidden="true" max="51" min="48" style="68" width="0"/>
    <col collapsed="false" hidden="false" max="52" min="52" style="64" width="3.1875"/>
    <col collapsed="false" hidden="false" max="53" min="53" style="61" width="19.0178571428571"/>
    <col collapsed="false" hidden="false" max="55" min="54" style="61" width="2.95089285714286"/>
    <col collapsed="false" hidden="false" max="57" min="56" style="61" width="1.65178571428571"/>
    <col collapsed="false" hidden="false" max="58" min="58" style="61" width="3.1875"/>
    <col collapsed="false" hidden="false" max="59" min="59" style="61" width="19.0178571428571"/>
    <col collapsed="false" hidden="false" max="61" min="60" style="61" width="2.95089285714286"/>
    <col collapsed="false" hidden="false" max="63" min="62" style="61" width="1.65178571428571"/>
    <col collapsed="false" hidden="false" max="64" min="64" style="61" width="3.1875"/>
    <col collapsed="false" hidden="false" max="65" min="65" style="61" width="19.0178571428571"/>
    <col collapsed="false" hidden="false" max="67" min="66" style="61" width="2.95089285714286"/>
    <col collapsed="false" hidden="false" max="69" min="68" style="61" width="1.65178571428571"/>
    <col collapsed="false" hidden="false" max="70" min="70" style="61" width="3.1875"/>
    <col collapsed="false" hidden="false" max="71" min="71" style="61" width="19.0178571428571"/>
    <col collapsed="false" hidden="false" max="73" min="72" style="61" width="2.95089285714286"/>
    <col collapsed="false" hidden="false" max="1025" min="74" style="61" width="8.74107142857143"/>
  </cols>
  <sheetData>
    <row r="1" customFormat="false" ht="46.5" hidden="false" customHeight="false" outlineLevel="0" collapsed="false">
      <c r="A1" s="70" t="str">
        <f aca="false">INDEX(T,2,lang)</f>
        <v>UEFA EURO 2016 versenyek időbeosztása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U1" s="0"/>
      <c r="V1" s="65"/>
      <c r="W1" s="65"/>
      <c r="X1" s="65"/>
      <c r="Y1" s="0"/>
      <c r="Z1" s="0"/>
      <c r="AA1" s="65"/>
      <c r="AB1" s="0"/>
      <c r="AC1" s="65"/>
      <c r="AD1" s="0"/>
      <c r="AE1" s="67"/>
      <c r="AF1" s="67"/>
      <c r="AG1" s="68"/>
      <c r="AH1" s="69"/>
      <c r="AI1" s="69"/>
      <c r="AJ1" s="69"/>
      <c r="AK1" s="69"/>
      <c r="AL1" s="69"/>
      <c r="AM1" s="68"/>
      <c r="AN1" s="68"/>
      <c r="AO1" s="68"/>
      <c r="AP1" s="0"/>
      <c r="AQ1" s="68"/>
      <c r="AR1" s="68"/>
      <c r="AS1" s="68"/>
      <c r="AT1" s="68"/>
      <c r="AU1" s="68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</row>
    <row r="2" customFormat="false" ht="6" hidden="tru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U2" s="0"/>
      <c r="V2" s="65"/>
      <c r="W2" s="65"/>
      <c r="X2" s="65"/>
      <c r="Y2" s="0"/>
      <c r="Z2" s="0"/>
      <c r="AA2" s="65"/>
      <c r="AB2" s="0"/>
      <c r="AC2" s="65"/>
      <c r="AD2" s="0"/>
      <c r="AE2" s="67"/>
      <c r="AF2" s="67"/>
      <c r="AG2" s="68"/>
      <c r="AH2" s="69"/>
      <c r="AI2" s="69"/>
      <c r="AJ2" s="69"/>
      <c r="AK2" s="69"/>
      <c r="AL2" s="69"/>
      <c r="AM2" s="68"/>
      <c r="AN2" s="68"/>
      <c r="AO2" s="68"/>
      <c r="AP2" s="0"/>
      <c r="AQ2" s="68"/>
      <c r="AR2" s="68"/>
      <c r="AS2" s="68"/>
      <c r="AT2" s="68"/>
      <c r="AU2" s="68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</row>
    <row r="3" customFormat="false" ht="6" hidden="true" customHeight="true" outlineLevel="0" collapsed="false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0"/>
      <c r="R3" s="0"/>
      <c r="S3" s="0"/>
      <c r="U3" s="0"/>
      <c r="V3" s="65"/>
      <c r="W3" s="65"/>
      <c r="X3" s="65"/>
      <c r="Y3" s="0"/>
      <c r="Z3" s="0"/>
      <c r="AA3" s="65"/>
      <c r="AB3" s="0"/>
      <c r="AC3" s="65"/>
      <c r="AD3" s="0"/>
      <c r="AE3" s="67"/>
      <c r="AF3" s="67"/>
      <c r="AG3" s="68"/>
      <c r="AH3" s="69"/>
      <c r="AI3" s="69"/>
      <c r="AJ3" s="69"/>
      <c r="AK3" s="69"/>
      <c r="AL3" s="69"/>
      <c r="AM3" s="68"/>
      <c r="AN3" s="68"/>
      <c r="AO3" s="68"/>
      <c r="AP3" s="0"/>
      <c r="AQ3" s="68"/>
      <c r="AR3" s="68"/>
      <c r="AS3" s="68"/>
      <c r="AT3" s="68"/>
      <c r="AU3" s="68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</row>
    <row r="4" customFormat="false" ht="6.75" hidden="false" customHeight="true" outlineLevel="0" collapsed="false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0"/>
      <c r="M4" s="0"/>
      <c r="N4" s="0"/>
      <c r="O4" s="0"/>
      <c r="P4" s="0"/>
      <c r="Q4" s="0"/>
      <c r="R4" s="0"/>
      <c r="S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</row>
    <row r="5" customFormat="false" ht="12.75" hidden="false" customHeight="true" outlineLevel="0" collapsed="false">
      <c r="A5" s="71"/>
      <c r="B5" s="71"/>
      <c r="C5" s="72" t="s">
        <v>2465</v>
      </c>
      <c r="D5" s="72"/>
      <c r="E5" s="72"/>
      <c r="F5" s="72"/>
      <c r="G5" s="72"/>
      <c r="H5" s="72"/>
      <c r="I5" s="72"/>
      <c r="J5" s="71"/>
      <c r="K5" s="71"/>
      <c r="L5" s="0"/>
      <c r="M5" s="0"/>
      <c r="N5" s="0"/>
      <c r="O5" s="0"/>
      <c r="P5" s="0"/>
      <c r="Q5" s="0"/>
      <c r="R5" s="0"/>
      <c r="S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</row>
    <row r="6" customFormat="false" ht="12.75" hidden="false" customHeight="true" outlineLevel="0" collapsed="false">
      <c r="A6" s="71"/>
      <c r="B6" s="71"/>
      <c r="C6" s="72"/>
      <c r="D6" s="72"/>
      <c r="E6" s="72"/>
      <c r="F6" s="72"/>
      <c r="G6" s="72"/>
      <c r="H6" s="72"/>
      <c r="I6" s="72"/>
      <c r="J6" s="71"/>
      <c r="K6" s="71"/>
      <c r="L6" s="0"/>
      <c r="M6" s="0"/>
      <c r="N6" s="0"/>
      <c r="O6" s="0"/>
      <c r="P6" s="0"/>
      <c r="Q6" s="0"/>
      <c r="R6" s="73" t="str">
        <f aca="false">"Language: " &amp; Settings!C4</f>
        <v>Language: Hungarian</v>
      </c>
      <c r="S6" s="73"/>
      <c r="U6" s="65" t="s">
        <v>2466</v>
      </c>
      <c r="V6" s="0"/>
      <c r="W6" s="0"/>
      <c r="X6" s="0"/>
      <c r="Y6" s="65" t="s">
        <v>2467</v>
      </c>
      <c r="Z6" s="65" t="s">
        <v>2468</v>
      </c>
      <c r="AA6" s="0"/>
      <c r="AB6" s="65" t="s">
        <v>2469</v>
      </c>
      <c r="AC6" s="65" t="s">
        <v>1024</v>
      </c>
      <c r="AD6" s="65" t="s">
        <v>368</v>
      </c>
      <c r="AE6" s="65" t="s">
        <v>404</v>
      </c>
      <c r="AF6" s="65" t="s">
        <v>339</v>
      </c>
      <c r="AG6" s="65" t="s">
        <v>2467</v>
      </c>
      <c r="AH6" s="65" t="s">
        <v>2468</v>
      </c>
      <c r="AI6" s="65" t="s">
        <v>2470</v>
      </c>
      <c r="AJ6" s="65" t="s">
        <v>2470</v>
      </c>
      <c r="AK6" s="0"/>
      <c r="AL6" s="65" t="s">
        <v>2471</v>
      </c>
      <c r="AM6" s="65" t="s">
        <v>384</v>
      </c>
      <c r="AN6" s="65" t="s">
        <v>2472</v>
      </c>
      <c r="AO6" s="65" t="s">
        <v>2473</v>
      </c>
      <c r="AP6" s="0"/>
      <c r="AQ6" s="69" t="s">
        <v>368</v>
      </c>
      <c r="AR6" s="69" t="s">
        <v>404</v>
      </c>
      <c r="AS6" s="69" t="s">
        <v>2467</v>
      </c>
      <c r="AT6" s="69" t="s">
        <v>2468</v>
      </c>
      <c r="AU6" s="69" t="s">
        <v>2474</v>
      </c>
      <c r="AZ6" s="74" t="str">
        <f aca="false">INDEX(T,4,lang)</f>
        <v>Nyolcaddöntők</v>
      </c>
      <c r="BA6" s="74"/>
      <c r="BB6" s="74"/>
      <c r="BC6" s="74"/>
      <c r="BD6" s="0"/>
      <c r="BE6" s="0"/>
      <c r="BF6" s="74" t="str">
        <f aca="false">INDEX(T,5,lang)</f>
        <v>Negyeddöntők</v>
      </c>
      <c r="BG6" s="74"/>
      <c r="BH6" s="74"/>
      <c r="BI6" s="74"/>
      <c r="BJ6" s="0"/>
      <c r="BK6" s="0"/>
      <c r="BL6" s="74" t="str">
        <f aca="false">INDEX(T,6,lang)</f>
        <v>Elődöntők</v>
      </c>
      <c r="BM6" s="74"/>
      <c r="BN6" s="74"/>
      <c r="BO6" s="74"/>
      <c r="BP6" s="0"/>
      <c r="BQ6" s="0"/>
      <c r="BR6" s="74" t="str">
        <f aca="false">INDEX(T,8,lang)</f>
        <v>Döntő</v>
      </c>
      <c r="BS6" s="74"/>
      <c r="BT6" s="74"/>
      <c r="BU6" s="74"/>
    </row>
    <row r="7" customFormat="false" ht="12.75" hidden="false" customHeight="tru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U7" s="65" t="n">
        <f aca="false">DATE(2016,6,10)+TIME(8,0,0)+gmt_delta</f>
        <v>42531.875</v>
      </c>
      <c r="V7" s="66" t="str">
        <f aca="false">IF(OR(F10="",G10=""),"",IF(F10&gt;G10,E10&amp;"_win",IF(F10&lt;G10,E10&amp;"_lose",E10&amp;"_draw")))</f>
        <v>Franciaország_win</v>
      </c>
      <c r="W7" s="66" t="str">
        <f aca="false">IF(V7="","",IF(F10&lt;G10,H10&amp;"_win",IF(F10&gt;G10,H10&amp;"_lose",H10&amp;"_draw")))</f>
        <v>Románia_lose</v>
      </c>
      <c r="X7" s="67" t="n">
        <f aca="false">IF(V7="",0,IF(VLOOKUP(E10,$AC$8:$AL$53,7,0)=VLOOKUP(H10,$AC$8:$AL$53,7,0),1,0))</f>
        <v>0</v>
      </c>
      <c r="Y7" s="65" t="n">
        <f aca="false">X7*F10</f>
        <v>0</v>
      </c>
      <c r="Z7" s="65" t="n">
        <f aca="false">X7*G10</f>
        <v>0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Z7" s="74"/>
      <c r="BA7" s="74"/>
      <c r="BB7" s="74"/>
      <c r="BC7" s="74"/>
      <c r="BD7" s="0"/>
      <c r="BE7" s="0"/>
      <c r="BF7" s="74"/>
      <c r="BG7" s="74"/>
      <c r="BH7" s="74"/>
      <c r="BI7" s="74"/>
      <c r="BJ7" s="0"/>
      <c r="BK7" s="0"/>
      <c r="BL7" s="74"/>
      <c r="BM7" s="74"/>
      <c r="BN7" s="74"/>
      <c r="BO7" s="74"/>
      <c r="BP7" s="0"/>
      <c r="BQ7" s="0"/>
      <c r="BR7" s="74"/>
      <c r="BS7" s="74"/>
      <c r="BT7" s="74"/>
      <c r="BU7" s="74"/>
    </row>
    <row r="8" customFormat="false" ht="12.75" hidden="false" customHeight="true" outlineLevel="0" collapsed="false">
      <c r="A8" s="75" t="str">
        <f aca="false">INDEX(T,3,lang)</f>
        <v>Csoportkörök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0"/>
      <c r="M8" s="76" t="str">
        <f aca="false">INDEX(T,9,lang) &amp; " " &amp; "A"</f>
        <v>Csoport A</v>
      </c>
      <c r="N8" s="77" t="str">
        <f aca="false">INDEX(T,10,lang)</f>
        <v>M</v>
      </c>
      <c r="O8" s="77" t="str">
        <f aca="false">INDEX(T,11,lang)</f>
        <v>GY</v>
      </c>
      <c r="P8" s="77" t="str">
        <f aca="false">INDEX(T,12,lang)</f>
        <v>D</v>
      </c>
      <c r="Q8" s="77" t="str">
        <f aca="false">INDEX(T,13,lang)</f>
        <v>V</v>
      </c>
      <c r="R8" s="77" t="str">
        <f aca="false">INDEX(T,14,lang)</f>
        <v>Gólkül.</v>
      </c>
      <c r="S8" s="77" t="str">
        <f aca="false">INDEX(T,15,lang)</f>
        <v>PNT</v>
      </c>
      <c r="U8" s="65" t="n">
        <f aca="false">DATE(2016,6,11)+TIME(2,0,0)+gmt_delta</f>
        <v>42532.625</v>
      </c>
      <c r="V8" s="66" t="str">
        <f aca="false">IF(OR(F11="",G11=""),"",IF(F11&gt;G11,E11&amp;"_win",IF(F11&lt;G11,E11&amp;"_lose",E11&amp;"_draw")))</f>
        <v>Albánia_lose</v>
      </c>
      <c r="W8" s="66" t="str">
        <f aca="false">IF(V8="","",IF(F11&lt;G11,H11&amp;"_win",IF(F11&gt;G11,H11&amp;"_lose",H11&amp;"_draw")))</f>
        <v>Svájc_win</v>
      </c>
      <c r="X8" s="67" t="n">
        <f aca="false">IF(V8="",0,IF(VLOOKUP(E11,$AC$8:$AL$53,7,0)=VLOOKUP(H11,$AC$8:$AL$53,7,0),1,0))</f>
        <v>0</v>
      </c>
      <c r="Y8" s="65" t="n">
        <f aca="false">X8*F11</f>
        <v>0</v>
      </c>
      <c r="Z8" s="65" t="n">
        <f aca="false">X8*G11</f>
        <v>0</v>
      </c>
      <c r="AA8" s="0"/>
      <c r="AB8" s="65" t="n">
        <f aca="false">COUNTIF(AO8:AO11,CONCATENATE("&gt;=",AO8))</f>
        <v>1</v>
      </c>
      <c r="AC8" s="67" t="str">
        <f aca="false">INDEX(T,62,lang)</f>
        <v>Franciaország</v>
      </c>
      <c r="AD8" s="65" t="n">
        <f aca="false">COUNTIF($V$7:$W$42,"=" &amp; AC8 &amp; "_win")</f>
        <v>2</v>
      </c>
      <c r="AE8" s="65" t="n">
        <f aca="false">COUNTIF($V$7:$W$42,"=" &amp; AC8 &amp; "_draw")</f>
        <v>1</v>
      </c>
      <c r="AF8" s="65" t="n">
        <f aca="false">COUNTIF($V$7:$W$42,"=" &amp; AC8 &amp; "_lose")</f>
        <v>0</v>
      </c>
      <c r="AG8" s="65" t="n">
        <f aca="false">SUMIF($E$10:$E$45,$AC8,$F$10:$F$45) + SUMIF($H$10:$H$45,$AC8,$G$10:$G$45)</f>
        <v>4</v>
      </c>
      <c r="AH8" s="65" t="n">
        <f aca="false">SUMIF($E$10:$E$45,$AC8,$G$10:$G$45) + SUMIF($H$10:$H$45,$AC8,$F$10:$F$45)</f>
        <v>1</v>
      </c>
      <c r="AI8" s="65" t="n">
        <f aca="false">AL8*10000</f>
        <v>70000</v>
      </c>
      <c r="AJ8" s="65" t="n">
        <f aca="false">AG8-AH8</f>
        <v>3</v>
      </c>
      <c r="AK8" s="65" t="n">
        <f aca="false">(AJ8-AJ13)/AJ12</f>
        <v>0.833333333333333</v>
      </c>
      <c r="AL8" s="65" t="n">
        <f aca="false">AD8*3+AE8</f>
        <v>7</v>
      </c>
      <c r="AM8" s="65" t="n">
        <f aca="false">AQ8/AQ12*10+AR8/AR12+AU8/AU12*0.1+AS8/AS12*0.01</f>
        <v>0</v>
      </c>
      <c r="AN8" s="65" t="n">
        <f aca="false">VLOOKUP(AC8,db_fifarank,2,0)/2000000</f>
        <v>0.0167995</v>
      </c>
      <c r="AO8" s="67" t="n">
        <f aca="false">10000000*AL8/AL12+100000*AM8/AM12+100*AK8+10*AG8/AG12+1*AM8/AM12+AN8</f>
        <v>10000093.3501328</v>
      </c>
      <c r="AP8" s="68" t="str">
        <f aca="false">IF(SUM(AD8:AF11)=12,M9,INDEX(T,70,lang))</f>
        <v>Franciaország</v>
      </c>
      <c r="AQ8" s="69" t="n">
        <f aca="false">SUMPRODUCT(($V$7:$V$42=AC8&amp;"_win")*($X$7:$X$42))+SUMPRODUCT(($W$7:$W$42=AC8&amp;"_win")*($X$7:$X$42))</f>
        <v>0</v>
      </c>
      <c r="AR8" s="69" t="n">
        <f aca="false">SUMPRODUCT(($V$7:$V$42=AC8&amp;"_draw")*($X$7:$X$42))+SUMPRODUCT(($W$7:$W$42=AC8&amp;"_draw")*($X$7:$X$42))</f>
        <v>0</v>
      </c>
      <c r="AS8" s="69" t="n">
        <f aca="false">SUMPRODUCT(($E$10:$E$45=AC8)*($X$7:$X$42)*($F$10:$F$45))+SUMPRODUCT(($H$10:$H$45=AC8)*($X$7:$X$42)*($G$10:$G$45))</f>
        <v>0</v>
      </c>
      <c r="AT8" s="69" t="n">
        <f aca="false">SUMPRODUCT(($E$10:$E$45=AC8)*($X$7:$X$42)*($G$10:$G$45))+SUMPRODUCT(($H$10:$H$45=AC8)*($X$7:$X$42)*($F$10:$F$45))</f>
        <v>0</v>
      </c>
      <c r="AU8" s="69" t="n">
        <f aca="false">AS8-AT8</f>
        <v>0</v>
      </c>
      <c r="AZ8" s="0"/>
      <c r="BA8" s="0"/>
      <c r="BB8" s="0"/>
      <c r="BC8" s="0"/>
      <c r="BD8" s="0"/>
      <c r="BE8" s="0"/>
      <c r="BF8" s="0"/>
      <c r="BG8" s="78"/>
      <c r="BH8" s="78"/>
      <c r="BI8" s="0"/>
      <c r="BJ8" s="0"/>
      <c r="BK8" s="0"/>
      <c r="BL8" s="0"/>
      <c r="BM8" s="78"/>
      <c r="BN8" s="78"/>
      <c r="BO8" s="78"/>
      <c r="BP8" s="78"/>
      <c r="BQ8" s="78"/>
      <c r="BR8" s="78"/>
      <c r="BS8" s="78"/>
      <c r="BT8" s="78"/>
      <c r="BU8" s="78"/>
    </row>
    <row r="9" customFormat="false" ht="12.75" hidden="false" customHeight="true" outlineLevel="0" collapsed="false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0"/>
      <c r="M9" s="79" t="str">
        <f aca="false">VLOOKUP(1,AB8:AL11,2,0)</f>
        <v>Franciaország</v>
      </c>
      <c r="N9" s="80" t="n">
        <f aca="false">O9+P9+Q9</f>
        <v>3</v>
      </c>
      <c r="O9" s="80" t="n">
        <f aca="false">VLOOKUP(1,AB8:AL11,3,0)</f>
        <v>2</v>
      </c>
      <c r="P9" s="80" t="n">
        <f aca="false">VLOOKUP(1,AB8:AL11,4,0)</f>
        <v>1</v>
      </c>
      <c r="Q9" s="80" t="n">
        <f aca="false">VLOOKUP(1,AB8:AL11,5,0)</f>
        <v>0</v>
      </c>
      <c r="R9" s="80" t="str">
        <f aca="false">VLOOKUP(1,AB8:AL11,6,0) &amp; " - " &amp; VLOOKUP(1,AB8:AL11,7,0)</f>
        <v>4 - 1</v>
      </c>
      <c r="S9" s="81" t="n">
        <f aca="false">O9*3+P9</f>
        <v>7</v>
      </c>
      <c r="U9" s="65" t="n">
        <f aca="false">DATE(2016,6,11)+TIME(5,0,0)+gmt_delta</f>
        <v>42532.75</v>
      </c>
      <c r="V9" s="66" t="str">
        <f aca="false">IF(OR(F12="",G12=""),"",IF(F12&gt;G12,E12&amp;"_win",IF(F12&lt;G12,E12&amp;"_lose",E12&amp;"_draw")))</f>
        <v>Wales_win</v>
      </c>
      <c r="W9" s="66" t="str">
        <f aca="false">IF(V9="","",IF(F12&lt;G12,H12&amp;"_win",IF(F12&gt;G12,H12&amp;"_lose",H12&amp;"_draw")))</f>
        <v>Szlovákia_lose</v>
      </c>
      <c r="X9" s="67" t="n">
        <f aca="false">IF(V9="",0,IF(VLOOKUP(E12,$AC$8:$AL$53,7,0)=VLOOKUP(H12,$AC$8:$AL$53,7,0),1,0))</f>
        <v>0</v>
      </c>
      <c r="Y9" s="65" t="n">
        <f aca="false">X9*F12</f>
        <v>0</v>
      </c>
      <c r="Z9" s="65" t="n">
        <f aca="false">X9*G12</f>
        <v>0</v>
      </c>
      <c r="AA9" s="0"/>
      <c r="AB9" s="65" t="n">
        <f aca="false">COUNTIF(AO8:AO11,CONCATENATE("&gt;=",AO9))</f>
        <v>3</v>
      </c>
      <c r="AC9" s="67" t="str">
        <f aca="false">INDEX(T,38,lang)</f>
        <v>Albánia</v>
      </c>
      <c r="AD9" s="65" t="n">
        <f aca="false">COUNTIF($V$7:$W$42,"=" &amp; AC9 &amp; "_win")</f>
        <v>1</v>
      </c>
      <c r="AE9" s="65" t="n">
        <f aca="false">COUNTIF($V$7:$W$42,"=" &amp; AC9 &amp; "_draw")</f>
        <v>0</v>
      </c>
      <c r="AF9" s="65" t="n">
        <f aca="false">COUNTIF($V$7:$W$42,"=" &amp; AC9 &amp; "_lose")</f>
        <v>2</v>
      </c>
      <c r="AG9" s="65" t="n">
        <f aca="false">SUMIF($E$10:$E$45,$AC9,$F$10:$F$45) + SUMIF($H$10:$H$45,$AC9,$G$10:$G$45)</f>
        <v>1</v>
      </c>
      <c r="AH9" s="65" t="n">
        <f aca="false">SUMIF($E$10:$E$45,$AC9,$G$10:$G$45) + SUMIF($H$10:$H$45,$AC9,$F$10:$F$45)</f>
        <v>3</v>
      </c>
      <c r="AI9" s="65" t="n">
        <f aca="false">AL9*10000</f>
        <v>30000</v>
      </c>
      <c r="AJ9" s="65" t="n">
        <f aca="false">AG9-AH9</f>
        <v>-2</v>
      </c>
      <c r="AK9" s="65" t="n">
        <f aca="false">(AJ9-AJ13)/AJ12</f>
        <v>0</v>
      </c>
      <c r="AL9" s="65" t="n">
        <f aca="false">AD9*3+AE9</f>
        <v>3</v>
      </c>
      <c r="AM9" s="65" t="n">
        <f aca="false">AQ9/AQ12*10+AR9/AR12+AU9/AU12*0.1+AS9/AS12*0.01</f>
        <v>0</v>
      </c>
      <c r="AN9" s="65" t="n">
        <f aca="false">VLOOKUP(AC9,db_fifarank,2,0)/2000000</f>
        <v>0.011608</v>
      </c>
      <c r="AO9" s="67" t="n">
        <f aca="false">10000000*AL9/AL12+100000*AM9/AM12+100*AK9+10*AG9/AG12+1*AM9/AM12+AN9</f>
        <v>4285716.79732229</v>
      </c>
      <c r="AP9" s="68" t="str">
        <f aca="false">IF(SUM(AD8:AF11)=12,M10,INDEX(T,71,lang))</f>
        <v>Svájc</v>
      </c>
      <c r="AQ9" s="69" t="n">
        <f aca="false">SUMPRODUCT(($V$7:$V$42=AC9&amp;"_win")*($X$7:$X$42))+SUMPRODUCT(($W$7:$W$42=AC9&amp;"_win")*($X$7:$X$42))</f>
        <v>0</v>
      </c>
      <c r="AR9" s="69" t="n">
        <f aca="false">SUMPRODUCT(($V$7:$V$42=AC9&amp;"_draw")*($X$7:$X$42))+SUMPRODUCT(($W$7:$W$42=AC9&amp;"_draw")*($X$7:$X$42))</f>
        <v>0</v>
      </c>
      <c r="AS9" s="69" t="n">
        <f aca="false">SUMPRODUCT(($E$10:$E$45=AC9)*($X$7:$X$42)*($F$10:$F$45))+SUMPRODUCT(($H$10:$H$45=AC9)*($X$7:$X$42)*($G$10:$G$45))</f>
        <v>0</v>
      </c>
      <c r="AT9" s="69" t="n">
        <f aca="false">SUMPRODUCT(($E$10:$E$45=AC9)*($X$7:$X$42)*($G$10:$G$45))+SUMPRODUCT(($H$10:$H$45=AC9)*($X$7:$X$42)*($F$10:$F$45))</f>
        <v>0</v>
      </c>
      <c r="AU9" s="69" t="n">
        <f aca="false">AS9-AT9</f>
        <v>0</v>
      </c>
      <c r="AZ9" s="82" t="str">
        <f aca="false">INDEX(T,24+MONTH(U46),lang) &amp; " " &amp; DAY(U46) &amp; ", " &amp; YEAR(U46) &amp; "   " &amp; TEXT(TIME(HOUR(U46),MINUTE(U46),0),"hh:mm")</f>
        <v>Jún 25, 2016   01:00</v>
      </c>
      <c r="BA9" s="78"/>
      <c r="BB9" s="78"/>
      <c r="BC9" s="83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</row>
    <row r="10" customFormat="false" ht="12.8" hidden="false" customHeight="false" outlineLevel="0" collapsed="false">
      <c r="A10" s="84" t="n">
        <v>1</v>
      </c>
      <c r="B10" s="85" t="str">
        <f aca="false">INDEX(T,18+INT(MOD(U7-1,7)),lang)</f>
        <v>Pé</v>
      </c>
      <c r="C10" s="86" t="str">
        <f aca="false">INDEX(T,24+MONTH(U7),lang) &amp; " " &amp; DAY(U7) &amp; ", " &amp; YEAR(U7)</f>
        <v>Jún 10, 2016</v>
      </c>
      <c r="D10" s="87" t="n">
        <f aca="false">TIME(HOUR(U7),MINUTE(U7),0)</f>
        <v>0.875</v>
      </c>
      <c r="E10" s="88" t="str">
        <f aca="false">AC8</f>
        <v>Franciaország</v>
      </c>
      <c r="F10" s="89" t="n">
        <v>2</v>
      </c>
      <c r="G10" s="90" t="n">
        <v>1</v>
      </c>
      <c r="H10" s="91" t="str">
        <f aca="false">AC10</f>
        <v>Románia</v>
      </c>
      <c r="I10" s="92" t="n">
        <f aca="false">INDEX(T,114,lang)</f>
        <v>0</v>
      </c>
      <c r="J10" s="92"/>
      <c r="K10" s="92"/>
      <c r="L10" s="0"/>
      <c r="M10" s="93" t="str">
        <f aca="false">VLOOKUP(2,AB8:AL11,2,0)</f>
        <v>Svájc</v>
      </c>
      <c r="N10" s="94" t="n">
        <f aca="false">O10+P10+Q10</f>
        <v>3</v>
      </c>
      <c r="O10" s="94" t="n">
        <f aca="false">VLOOKUP(2,AB8:AL11,3,0)</f>
        <v>1</v>
      </c>
      <c r="P10" s="94" t="n">
        <f aca="false">VLOOKUP(2,AB8:AL11,4,0)</f>
        <v>2</v>
      </c>
      <c r="Q10" s="94" t="n">
        <f aca="false">VLOOKUP(2,AB8:AL11,5,0)</f>
        <v>0</v>
      </c>
      <c r="R10" s="94" t="str">
        <f aca="false">VLOOKUP(2,AB8:AL11,6,0) &amp; " - " &amp; VLOOKUP(2,AB8:AL11,7,0)</f>
        <v>2 - 1</v>
      </c>
      <c r="S10" s="95" t="n">
        <f aca="false">O10*3+P10</f>
        <v>5</v>
      </c>
      <c r="U10" s="65" t="n">
        <f aca="false">DATE(2016,6,11)+TIME(8,0,0)+gmt_delta</f>
        <v>42532.875</v>
      </c>
      <c r="V10" s="66" t="str">
        <f aca="false">IF(OR(F13="",G13=""),"",IF(F13&gt;G13,E13&amp;"_win",IF(F13&lt;G13,E13&amp;"_lose",E13&amp;"_draw")))</f>
        <v>Anglia_draw</v>
      </c>
      <c r="W10" s="66" t="str">
        <f aca="false">IF(V10="","",IF(F13&lt;G13,H13&amp;"_win",IF(F13&gt;G13,H13&amp;"_lose",H13&amp;"_draw")))</f>
        <v>Oroszország_draw</v>
      </c>
      <c r="X10" s="67" t="n">
        <f aca="false">IF(V10="",0,IF(VLOOKUP(E13,$AC$8:$AL$53,7,0)=VLOOKUP(H13,$AC$8:$AL$53,7,0),1,0))</f>
        <v>0</v>
      </c>
      <c r="Y10" s="65" t="n">
        <f aca="false">X10*F13</f>
        <v>0</v>
      </c>
      <c r="Z10" s="65" t="n">
        <f aca="false">X10*G13</f>
        <v>0</v>
      </c>
      <c r="AA10" s="0"/>
      <c r="AB10" s="65" t="n">
        <f aca="false">COUNTIF(AO8:AO11,CONCATENATE("&gt;=",AO10))</f>
        <v>4</v>
      </c>
      <c r="AC10" s="67" t="str">
        <f aca="false">INDEX(T,39,lang)</f>
        <v>Románia</v>
      </c>
      <c r="AD10" s="65" t="n">
        <f aca="false">COUNTIF($V$7:$W$42,"=" &amp; AC10 &amp; "_win")</f>
        <v>0</v>
      </c>
      <c r="AE10" s="65" t="n">
        <f aca="false">COUNTIF($V$7:$W$42,"=" &amp; AC10 &amp; "_draw")</f>
        <v>1</v>
      </c>
      <c r="AF10" s="65" t="n">
        <f aca="false">COUNTIF($V$7:$W$42,"=" &amp; AC10 &amp; "_lose")</f>
        <v>2</v>
      </c>
      <c r="AG10" s="65" t="n">
        <f aca="false">SUMIF($E$10:$E$45,$AC10,$F$10:$F$45) + SUMIF($H$10:$H$45,$AC10,$G$10:$G$45)</f>
        <v>2</v>
      </c>
      <c r="AH10" s="65" t="n">
        <f aca="false">SUMIF($E$10:$E$45,$AC10,$G$10:$G$45) + SUMIF($H$10:$H$45,$AC10,$F$10:$F$45)</f>
        <v>4</v>
      </c>
      <c r="AI10" s="65" t="n">
        <f aca="false">AL10*10000</f>
        <v>10000</v>
      </c>
      <c r="AJ10" s="65" t="n">
        <f aca="false">AG10-AH10</f>
        <v>-2</v>
      </c>
      <c r="AK10" s="65" t="n">
        <f aca="false">(AJ10-AJ13)/AJ12</f>
        <v>0</v>
      </c>
      <c r="AL10" s="65" t="n">
        <f aca="false">AD10*3+AE10</f>
        <v>1</v>
      </c>
      <c r="AM10" s="65" t="n">
        <f aca="false">AQ10/AQ12*10+AR10/AR12+AU10/AU12*0.1+AS10/AS12*0.01</f>
        <v>0</v>
      </c>
      <c r="AN10" s="65" t="n">
        <f aca="false">VLOOKUP(AC10,db_fifarank,2,0)/2000000</f>
        <v>0.014019</v>
      </c>
      <c r="AO10" s="67" t="n">
        <f aca="false">10000000*AL10/AL12+100000*AM10/AM12+100*AK10+10*AG10/AG12+1*AM10/AM12+AN10</f>
        <v>1428576.44259043</v>
      </c>
      <c r="AP10" s="68" t="str">
        <f aca="false">IF(SUM(AD8:AF11)&gt;0,M11,"3A")</f>
        <v>Albánia</v>
      </c>
      <c r="AQ10" s="69" t="n">
        <f aca="false">SUMPRODUCT(($V$7:$V$42=AC10&amp;"_win")*($X$7:$X$42))+SUMPRODUCT(($W$7:$W$42=AC10&amp;"_win")*($X$7:$X$42))</f>
        <v>0</v>
      </c>
      <c r="AR10" s="69" t="n">
        <f aca="false">SUMPRODUCT(($V$7:$V$42=AC10&amp;"_draw")*($X$7:$X$42))+SUMPRODUCT(($W$7:$W$42=AC10&amp;"_draw")*($X$7:$X$42))</f>
        <v>0</v>
      </c>
      <c r="AS10" s="69" t="n">
        <f aca="false">SUMPRODUCT(($E$10:$E$45=AC10)*($X$7:$X$42)*($F$10:$F$45))+SUMPRODUCT(($H$10:$H$45=AC10)*($X$7:$X$42)*($G$10:$G$45))</f>
        <v>0</v>
      </c>
      <c r="AT10" s="69" t="n">
        <f aca="false">SUMPRODUCT(($E$10:$E$45=AC10)*($X$7:$X$42)*($G$10:$G$45))+SUMPRODUCT(($H$10:$H$45=AC10)*($X$7:$X$42)*($F$10:$F$45))</f>
        <v>0</v>
      </c>
      <c r="AU10" s="69" t="n">
        <f aca="false">AS10-AT10</f>
        <v>0</v>
      </c>
      <c r="AZ10" s="96" t="n">
        <v>37</v>
      </c>
      <c r="BA10" s="97" t="str">
        <f aca="false">AP9</f>
        <v>Svájc</v>
      </c>
      <c r="BB10" s="98" t="n">
        <v>1</v>
      </c>
      <c r="BC10" s="99" t="n">
        <v>4</v>
      </c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</row>
    <row r="11" customFormat="false" ht="12.8" hidden="false" customHeight="false" outlineLevel="0" collapsed="false">
      <c r="A11" s="100" t="n">
        <v>2</v>
      </c>
      <c r="B11" s="101" t="str">
        <f aca="false">INDEX(T,18+INT(MOD(U8-1,7)),lang)</f>
        <v>Szo</v>
      </c>
      <c r="C11" s="102" t="str">
        <f aca="false">INDEX(T,24+MONTH(U8),lang) &amp; " " &amp; DAY(U8) &amp; ", " &amp; YEAR(U8)</f>
        <v>Jún 11, 2016</v>
      </c>
      <c r="D11" s="103" t="n">
        <f aca="false">TIME(HOUR(U8),MINUTE(U8),0)</f>
        <v>0.625</v>
      </c>
      <c r="E11" s="104" t="str">
        <f aca="false">AC9</f>
        <v>Albánia</v>
      </c>
      <c r="F11" s="105" t="n">
        <v>0</v>
      </c>
      <c r="G11" s="106" t="n">
        <v>1</v>
      </c>
      <c r="H11" s="107" t="str">
        <f aca="false">AC11</f>
        <v>Svájc</v>
      </c>
      <c r="I11" s="108" t="n">
        <f aca="false">INDEX(T,109,lang)</f>
        <v>0</v>
      </c>
      <c r="J11" s="108"/>
      <c r="K11" s="108"/>
      <c r="L11" s="0"/>
      <c r="M11" s="93" t="str">
        <f aca="false">VLOOKUP(3,AB8:AL11,2,0)</f>
        <v>Albánia</v>
      </c>
      <c r="N11" s="94" t="n">
        <f aca="false">O11+P11+Q11</f>
        <v>3</v>
      </c>
      <c r="O11" s="94" t="n">
        <f aca="false">VLOOKUP(3,AB8:AL11,3,0)</f>
        <v>1</v>
      </c>
      <c r="P11" s="94" t="n">
        <f aca="false">VLOOKUP(3,AB8:AL11,4,0)</f>
        <v>0</v>
      </c>
      <c r="Q11" s="94" t="n">
        <f aca="false">VLOOKUP(3,AB8:AL11,5,0)</f>
        <v>2</v>
      </c>
      <c r="R11" s="94" t="str">
        <f aca="false">VLOOKUP(3,AB8:AL11,6,0) &amp; " - " &amp; VLOOKUP(3,AB8:AL11,7,0)</f>
        <v>1 - 3</v>
      </c>
      <c r="S11" s="95" t="n">
        <f aca="false">O11*3+P11</f>
        <v>3</v>
      </c>
      <c r="U11" s="65" t="n">
        <f aca="false">DATE(2016,6,12)+TIME(2,0,0)+gmt_delta</f>
        <v>42533.625</v>
      </c>
      <c r="V11" s="66" t="str">
        <f aca="false">IF(OR(F14="",G14=""),"",IF(F14&gt;G14,E14&amp;"_win",IF(F14&lt;G14,E14&amp;"_lose",E14&amp;"_draw")))</f>
        <v>Törökország_lose</v>
      </c>
      <c r="W11" s="66" t="str">
        <f aca="false">IF(V11="","",IF(F14&lt;G14,H14&amp;"_win",IF(F14&gt;G14,H14&amp;"_lose",H14&amp;"_draw")))</f>
        <v>Horvátország_win</v>
      </c>
      <c r="X11" s="67" t="n">
        <f aca="false">IF(V11="",0,IF(VLOOKUP(E14,$AC$8:$AL$53,7,0)=VLOOKUP(H14,$AC$8:$AL$53,7,0),1,0))</f>
        <v>0</v>
      </c>
      <c r="Y11" s="65" t="n">
        <f aca="false">X11*F14</f>
        <v>0</v>
      </c>
      <c r="Z11" s="65" t="n">
        <f aca="false">X11*G14</f>
        <v>0</v>
      </c>
      <c r="AA11" s="0"/>
      <c r="AB11" s="65" t="n">
        <f aca="false">COUNTIF(AO8:AO11,CONCATENATE("&gt;=",AO11))</f>
        <v>2</v>
      </c>
      <c r="AC11" s="67" t="str">
        <f aca="false">INDEX(T,57,lang)</f>
        <v>Svájc</v>
      </c>
      <c r="AD11" s="65" t="n">
        <f aca="false">COUNTIF($V$7:$W$42,"=" &amp; AC11 &amp; "_win")</f>
        <v>1</v>
      </c>
      <c r="AE11" s="65" t="n">
        <f aca="false">COUNTIF($V$7:$W$42,"=" &amp; AC11 &amp; "_draw")</f>
        <v>2</v>
      </c>
      <c r="AF11" s="65" t="n">
        <f aca="false">COUNTIF($V$7:$W$42,"=" &amp; AC11 &amp; "_lose")</f>
        <v>0</v>
      </c>
      <c r="AG11" s="65" t="n">
        <f aca="false">SUMIF($E$10:$E$45,$AC11,$F$10:$F$45) + SUMIF($H$10:$H$45,$AC11,$G$10:$G$45)</f>
        <v>2</v>
      </c>
      <c r="AH11" s="65" t="n">
        <f aca="false">SUMIF($E$10:$E$45,$AC11,$G$10:$G$45) + SUMIF($H$10:$H$45,$AC11,$F$10:$F$45)</f>
        <v>1</v>
      </c>
      <c r="AI11" s="65" t="n">
        <f aca="false">AL11*10000</f>
        <v>50000</v>
      </c>
      <c r="AJ11" s="65" t="n">
        <f aca="false">AG11-AH11</f>
        <v>1</v>
      </c>
      <c r="AK11" s="65" t="n">
        <f aca="false">(AJ11-AJ13)/AJ12</f>
        <v>0.5</v>
      </c>
      <c r="AL11" s="65" t="n">
        <f aca="false">AD11*3+AE11</f>
        <v>5</v>
      </c>
      <c r="AM11" s="65" t="n">
        <f aca="false">AQ11/AQ12*10+AR11/AR12+AU11/AU12*0.1+AS11/AS12*0.01</f>
        <v>0</v>
      </c>
      <c r="AN11" s="65" t="n">
        <f aca="false">VLOOKUP(AC11,db_fifarank,2,0)/2000000</f>
        <v>0.015627</v>
      </c>
      <c r="AO11" s="67" t="n">
        <f aca="false">10000000*AL11/AL12+100000*AM11/AM12+100*AK11+10*AG11/AG12+1*AM11/AM12+AN11</f>
        <v>7142912.15848414</v>
      </c>
      <c r="AP11" s="0"/>
      <c r="AQ11" s="69" t="n">
        <f aca="false">SUMPRODUCT(($V$7:$V$42=AC11&amp;"_win")*($X$7:$X$42))+SUMPRODUCT(($W$7:$W$42=AC11&amp;"_win")*($X$7:$X$42))</f>
        <v>0</v>
      </c>
      <c r="AR11" s="69" t="n">
        <f aca="false">SUMPRODUCT(($V$7:$V$42=AC11&amp;"_draw")*($X$7:$X$42))+SUMPRODUCT(($W$7:$W$42=AC11&amp;"_draw")*($X$7:$X$42))</f>
        <v>0</v>
      </c>
      <c r="AS11" s="69" t="n">
        <f aca="false">SUMPRODUCT(($E$10:$E$45=AC11)*($X$7:$X$42)*($F$10:$F$45))+SUMPRODUCT(($H$10:$H$45=AC11)*($X$7:$X$42)*($G$10:$G$45))</f>
        <v>0</v>
      </c>
      <c r="AT11" s="69" t="n">
        <f aca="false">SUMPRODUCT(($E$10:$E$45=AC11)*($X$7:$X$42)*($G$10:$G$45))+SUMPRODUCT(($H$10:$H$45=AC11)*($X$7:$X$42)*($F$10:$F$45))</f>
        <v>0</v>
      </c>
      <c r="AU11" s="69" t="n">
        <f aca="false">AS11-AT11</f>
        <v>0</v>
      </c>
      <c r="AZ11" s="96"/>
      <c r="BA11" s="109" t="str">
        <f aca="false">AP21</f>
        <v>Lengyelország</v>
      </c>
      <c r="BB11" s="110" t="n">
        <v>1</v>
      </c>
      <c r="BC11" s="111" t="n">
        <v>5</v>
      </c>
      <c r="BD11" s="112"/>
      <c r="BE11" s="78"/>
      <c r="BF11" s="78" t="str">
        <f aca="false">INDEX(T,24+MONTH(U57),lang) &amp; " " &amp; DAY(U57) &amp; ", " &amp; YEAR(U57) &amp; "   " &amp; TEXT(TIME(HOUR(U57),MINUTE(U57),0),"hh:mm")</f>
        <v>Jún 30, 2016   01:00</v>
      </c>
      <c r="BG11" s="78"/>
      <c r="BH11" s="78"/>
      <c r="BI11" s="113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</row>
    <row r="12" customFormat="false" ht="12.75" hidden="false" customHeight="false" outlineLevel="0" collapsed="false">
      <c r="A12" s="100" t="n">
        <v>3</v>
      </c>
      <c r="B12" s="101" t="str">
        <f aca="false">INDEX(T,18+INT(MOD(U9-1,7)),lang)</f>
        <v>Szo</v>
      </c>
      <c r="C12" s="102" t="str">
        <f aca="false">INDEX(T,24+MONTH(U9),lang) &amp; " " &amp; DAY(U9) &amp; ", " &amp; YEAR(U9)</f>
        <v>Jún 11, 2016</v>
      </c>
      <c r="D12" s="103" t="n">
        <f aca="false">TIME(HOUR(U9),MINUTE(U9),0)</f>
        <v>0.75</v>
      </c>
      <c r="E12" s="104" t="str">
        <f aca="false">AC15</f>
        <v>Wales</v>
      </c>
      <c r="F12" s="105" t="n">
        <v>2</v>
      </c>
      <c r="G12" s="106" t="n">
        <v>1</v>
      </c>
      <c r="H12" s="107" t="str">
        <f aca="false">AC17</f>
        <v>Szlovákia</v>
      </c>
      <c r="I12" s="108" t="n">
        <f aca="false">INDEX(T,113,lang)</f>
        <v>0</v>
      </c>
      <c r="J12" s="108"/>
      <c r="K12" s="108"/>
      <c r="L12" s="0"/>
      <c r="M12" s="114" t="str">
        <f aca="false">VLOOKUP(4,AB8:AL11,2,0)</f>
        <v>Románia</v>
      </c>
      <c r="N12" s="115" t="n">
        <f aca="false">O12+P12+Q12</f>
        <v>3</v>
      </c>
      <c r="O12" s="115" t="n">
        <f aca="false">VLOOKUP(4,AB8:AL11,3,0)</f>
        <v>0</v>
      </c>
      <c r="P12" s="115" t="n">
        <f aca="false">VLOOKUP(4,AB8:AL11,4,0)</f>
        <v>1</v>
      </c>
      <c r="Q12" s="115" t="n">
        <f aca="false">VLOOKUP(4,AB8:AL11,5,0)</f>
        <v>2</v>
      </c>
      <c r="R12" s="115" t="str">
        <f aca="false">VLOOKUP(4,AB8:AL11,6,0) &amp; " - " &amp; VLOOKUP(4,AB8:AL11,7,0)</f>
        <v>2 - 4</v>
      </c>
      <c r="S12" s="116" t="n">
        <f aca="false">O12*3+P12</f>
        <v>1</v>
      </c>
      <c r="U12" s="65" t="n">
        <f aca="false">DATE(2016,6,12)+TIME(5,0,0)+gmt_delta</f>
        <v>42533.75</v>
      </c>
      <c r="V12" s="66" t="str">
        <f aca="false">IF(OR(F15="",G15=""),"",IF(F15&gt;G15,E15&amp;"_win",IF(F15&lt;G15,E15&amp;"_lose",E15&amp;"_draw")))</f>
        <v>Lengyelország_win</v>
      </c>
      <c r="W12" s="66" t="str">
        <f aca="false">IF(V12="","",IF(F15&lt;G15,H15&amp;"_win",IF(F15&gt;G15,H15&amp;"_lose",H15&amp;"_draw")))</f>
        <v>Észak-Írország_lose</v>
      </c>
      <c r="X12" s="67" t="n">
        <f aca="false">IF(V12="",0,IF(VLOOKUP(E15,$AC$8:$AL$53,7,0)=VLOOKUP(H15,$AC$8:$AL$53,7,0),1,0))</f>
        <v>0</v>
      </c>
      <c r="Y12" s="65" t="n">
        <f aca="false">X12*F15</f>
        <v>0</v>
      </c>
      <c r="Z12" s="65" t="n">
        <f aca="false">X12*G15</f>
        <v>0</v>
      </c>
      <c r="AA12" s="0"/>
      <c r="AB12" s="0"/>
      <c r="AC12" s="0"/>
      <c r="AD12" s="65" t="n">
        <f aca="false">MAX(AD8:AD11)-MIN(AD8:AD11)+1</f>
        <v>3</v>
      </c>
      <c r="AE12" s="65" t="n">
        <f aca="false">MAX(AE8:AE11)-MIN(AE8:AE11)+1</f>
        <v>3</v>
      </c>
      <c r="AF12" s="65" t="n">
        <f aca="false">MAX(AF8:AF11)-MIN(AF8:AF11)+1</f>
        <v>3</v>
      </c>
      <c r="AG12" s="65" t="n">
        <f aca="false">MAX(AG8:AG11)-MIN(AG8:AG11)+1</f>
        <v>4</v>
      </c>
      <c r="AH12" s="65" t="n">
        <f aca="false">MAX(AH8:AH11)-MIN(AH8:AH11)+1</f>
        <v>4</v>
      </c>
      <c r="AI12" s="65" t="n">
        <f aca="false">MAX(AI8:AI11)-AI13+1</f>
        <v>60001</v>
      </c>
      <c r="AJ12" s="65" t="n">
        <f aca="false">MAX(AJ8:AJ11)-AJ13+1</f>
        <v>6</v>
      </c>
      <c r="AK12" s="0"/>
      <c r="AL12" s="65" t="n">
        <f aca="false">MAX(AL8:AL11)-MIN(AL8:AL11)+1</f>
        <v>7</v>
      </c>
      <c r="AM12" s="65" t="n">
        <f aca="false">MAX(AM8:AM11)-MIN(AM8:AM11)+1</f>
        <v>1</v>
      </c>
      <c r="AN12" s="0"/>
      <c r="AO12" s="0"/>
      <c r="AP12" s="0"/>
      <c r="AQ12" s="65" t="n">
        <f aca="false">MAX(AQ8:AQ11)-MIN(AQ8:AQ11)+1</f>
        <v>1</v>
      </c>
      <c r="AR12" s="65" t="n">
        <f aca="false">MAX(AR8:AR11)-MIN(AR8:AR11)+1</f>
        <v>1</v>
      </c>
      <c r="AS12" s="65" t="n">
        <f aca="false">MAX(AS8:AS11)-MIN(AS8:AS11)+1</f>
        <v>1</v>
      </c>
      <c r="AT12" s="65" t="n">
        <f aca="false">MAX(AT8:AT11)-MIN(AT8:AT11)+1</f>
        <v>1</v>
      </c>
      <c r="AU12" s="65" t="n">
        <f aca="false">MAX(AU8:AU11)-MIN(AU8:AU11)+1</f>
        <v>1</v>
      </c>
      <c r="AZ12" s="82"/>
      <c r="BA12" s="78"/>
      <c r="BB12" s="78"/>
      <c r="BC12" s="78"/>
      <c r="BD12" s="117"/>
      <c r="BE12" s="78"/>
      <c r="BF12" s="118" t="n">
        <v>45</v>
      </c>
      <c r="BG12" s="97" t="str">
        <f aca="false">W46</f>
        <v>Lengyelország</v>
      </c>
      <c r="BH12" s="98" t="n">
        <v>1</v>
      </c>
      <c r="BI12" s="99" t="n">
        <v>3</v>
      </c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</row>
    <row r="13" customFormat="false" ht="12.75" hidden="false" customHeight="false" outlineLevel="0" collapsed="false">
      <c r="A13" s="100" t="n">
        <v>4</v>
      </c>
      <c r="B13" s="101" t="str">
        <f aca="false">INDEX(T,18+INT(MOD(U10-1,7)),lang)</f>
        <v>Szo</v>
      </c>
      <c r="C13" s="102" t="str">
        <f aca="false">INDEX(T,24+MONTH(U10),lang) &amp; " " &amp; DAY(U10) &amp; ", " &amp; YEAR(U10)</f>
        <v>Jún 11, 2016</v>
      </c>
      <c r="D13" s="103" t="n">
        <f aca="false">TIME(HOUR(U10),MINUTE(U10),0)</f>
        <v>0.875</v>
      </c>
      <c r="E13" s="104" t="str">
        <f aca="false">AC14</f>
        <v>Anglia</v>
      </c>
      <c r="F13" s="105" t="n">
        <v>1</v>
      </c>
      <c r="G13" s="106" t="n">
        <v>1</v>
      </c>
      <c r="H13" s="107" t="str">
        <f aca="false">AC16</f>
        <v>Oroszország</v>
      </c>
      <c r="I13" s="108" t="n">
        <f aca="false">INDEX(T,106,lang)</f>
        <v>0</v>
      </c>
      <c r="J13" s="108"/>
      <c r="K13" s="108"/>
      <c r="L13" s="0"/>
      <c r="M13" s="119"/>
      <c r="N13" s="120"/>
      <c r="O13" s="120"/>
      <c r="P13" s="120"/>
      <c r="Q13" s="120"/>
      <c r="R13" s="120"/>
      <c r="S13" s="120"/>
      <c r="U13" s="65" t="n">
        <f aca="false">DATE(2016,6,12)+TIME(8,0,0)+gmt_delta</f>
        <v>42533.875</v>
      </c>
      <c r="V13" s="66" t="str">
        <f aca="false">IF(OR(F16="",G16=""),"",IF(F16&gt;G16,E16&amp;"_win",IF(F16&lt;G16,E16&amp;"_lose",E16&amp;"_draw")))</f>
        <v>Németország_win</v>
      </c>
      <c r="W13" s="66" t="str">
        <f aca="false">IF(V13="","",IF(F16&lt;G16,H16&amp;"_win",IF(F16&gt;G16,H16&amp;"_lose",H16&amp;"_draw")))</f>
        <v>Ukrajna_lose</v>
      </c>
      <c r="X13" s="67" t="n">
        <f aca="false">IF(V13="",0,IF(VLOOKUP(E16,$AC$8:$AL$53,7,0)=VLOOKUP(H16,$AC$8:$AL$53,7,0),1,0))</f>
        <v>0</v>
      </c>
      <c r="Y13" s="65" t="n">
        <f aca="false">X13*F16</f>
        <v>0</v>
      </c>
      <c r="Z13" s="65" t="n">
        <f aca="false">X13*G16</f>
        <v>0</v>
      </c>
      <c r="AA13" s="0"/>
      <c r="AB13" s="0"/>
      <c r="AC13" s="0"/>
      <c r="AD13" s="0"/>
      <c r="AE13" s="0"/>
      <c r="AF13" s="0"/>
      <c r="AG13" s="0"/>
      <c r="AH13" s="0"/>
      <c r="AI13" s="65" t="n">
        <f aca="false">MIN(AI8:AI11)</f>
        <v>10000</v>
      </c>
      <c r="AJ13" s="65" t="n">
        <f aca="false">MIN(AJ8:AJ11)</f>
        <v>-2</v>
      </c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Z13" s="82" t="str">
        <f aca="false">INDEX(T,24+MONTH(U48),lang) &amp; " " &amp; DAY(U48) &amp; ", " &amp; YEAR(U48) &amp; "   " &amp; TEXT(TIME(HOUR(U48),MINUTE(U48),0),"hh:mm")</f>
        <v>Jún 25, 2016   01:00</v>
      </c>
      <c r="BA13" s="78"/>
      <c r="BB13" s="78"/>
      <c r="BC13" s="113"/>
      <c r="BD13" s="117"/>
      <c r="BE13" s="121"/>
      <c r="BF13" s="118"/>
      <c r="BG13" s="109" t="str">
        <f aca="false">W47</f>
        <v>Portugália</v>
      </c>
      <c r="BH13" s="110" t="n">
        <v>1</v>
      </c>
      <c r="BI13" s="111" t="n">
        <v>5</v>
      </c>
      <c r="BJ13" s="112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</row>
    <row r="14" customFormat="false" ht="12.8" hidden="false" customHeight="false" outlineLevel="0" collapsed="false">
      <c r="A14" s="100" t="n">
        <v>5</v>
      </c>
      <c r="B14" s="101" t="str">
        <f aca="false">INDEX(T,18+INT(MOD(U11-1,7)),lang)</f>
        <v>Vas</v>
      </c>
      <c r="C14" s="102" t="str">
        <f aca="false">INDEX(T,24+MONTH(U11),lang) &amp; " " &amp; DAY(U11) &amp; ", " &amp; YEAR(U11)</f>
        <v>Jún 12, 2016</v>
      </c>
      <c r="D14" s="103" t="n">
        <f aca="false">TIME(HOUR(U11),MINUTE(U11),0)</f>
        <v>0.625</v>
      </c>
      <c r="E14" s="104" t="str">
        <f aca="false">AC28</f>
        <v>Törökország</v>
      </c>
      <c r="F14" s="105" t="n">
        <v>0</v>
      </c>
      <c r="G14" s="106" t="n">
        <v>1</v>
      </c>
      <c r="H14" s="107" t="str">
        <f aca="false">AC27</f>
        <v>Horvátország</v>
      </c>
      <c r="I14" s="108" t="n">
        <f aca="false">INDEX(T,107,lang)</f>
        <v>0</v>
      </c>
      <c r="J14" s="108"/>
      <c r="K14" s="108"/>
      <c r="L14" s="0"/>
      <c r="M14" s="76" t="str">
        <f aca="false">INDEX(T,9,lang) &amp; " " &amp; "B"</f>
        <v>Csoport B</v>
      </c>
      <c r="N14" s="77" t="str">
        <f aca="false">INDEX(T,10,lang)</f>
        <v>M</v>
      </c>
      <c r="O14" s="77" t="str">
        <f aca="false">INDEX(T,11,lang)</f>
        <v>GY</v>
      </c>
      <c r="P14" s="77" t="str">
        <f aca="false">INDEX(T,12,lang)</f>
        <v>D</v>
      </c>
      <c r="Q14" s="77" t="str">
        <f aca="false">INDEX(T,13,lang)</f>
        <v>V</v>
      </c>
      <c r="R14" s="77" t="str">
        <f aca="false">INDEX(T,14,lang)</f>
        <v>Gólkül.</v>
      </c>
      <c r="S14" s="77" t="str">
        <f aca="false">INDEX(T,15,lang)</f>
        <v>PNT</v>
      </c>
      <c r="U14" s="65" t="n">
        <f aca="false">DATE(2016,6,13)+TIME(2,0,0)+gmt_delta</f>
        <v>42534.625</v>
      </c>
      <c r="V14" s="66" t="str">
        <f aca="false">IF(OR(F17="",G17=""),"",IF(F17&gt;G17,E17&amp;"_win",IF(F17&lt;G17,E17&amp;"_lose",E17&amp;"_draw")))</f>
        <v>Spanyolország_win</v>
      </c>
      <c r="W14" s="66" t="str">
        <f aca="false">IF(V14="","",IF(F17&lt;G17,H17&amp;"_win",IF(F17&gt;G17,H17&amp;"_lose",H17&amp;"_draw")))</f>
        <v>Cseh Köztársaság_lose</v>
      </c>
      <c r="X14" s="67" t="n">
        <f aca="false">IF(V14="",0,IF(VLOOKUP(E17,$AC$8:$AL$53,7,0)=VLOOKUP(H17,$AC$8:$AL$53,7,0),1,0))</f>
        <v>0</v>
      </c>
      <c r="Y14" s="65" t="n">
        <f aca="false">X14*F17</f>
        <v>0</v>
      </c>
      <c r="Z14" s="65" t="n">
        <f aca="false">X14*G17</f>
        <v>0</v>
      </c>
      <c r="AA14" s="0"/>
      <c r="AB14" s="65" t="n">
        <f aca="false">COUNTIF(AO14:AO17,CONCATENATE("&gt;=",AO14))</f>
        <v>2</v>
      </c>
      <c r="AC14" s="67" t="str">
        <f aca="false">INDEX(T,66,lang)</f>
        <v>Anglia</v>
      </c>
      <c r="AD14" s="65" t="n">
        <f aca="false">COUNTIF($V$7:$W$42,"=" &amp; AC14 &amp; "_win")</f>
        <v>1</v>
      </c>
      <c r="AE14" s="65" t="n">
        <f aca="false">COUNTIF($V$7:$W$42,"=" &amp; AC14 &amp; "_draw")</f>
        <v>2</v>
      </c>
      <c r="AF14" s="65" t="n">
        <f aca="false">COUNTIF($V$7:$W$42,"=" &amp; AC14 &amp; "_lose")</f>
        <v>0</v>
      </c>
      <c r="AG14" s="65" t="n">
        <f aca="false">SUMIF($E$10:$E$45,$AC14,$F$10:$F$45) + SUMIF($H$10:$H$45,$AC14,$G$10:$G$45)</f>
        <v>3</v>
      </c>
      <c r="AH14" s="65" t="n">
        <f aca="false">SUMIF($E$10:$E$45,$AC14,$G$10:$G$45) + SUMIF($H$10:$H$45,$AC14,$F$10:$F$45)</f>
        <v>2</v>
      </c>
      <c r="AI14" s="65" t="n">
        <f aca="false">AL14*10000</f>
        <v>50000</v>
      </c>
      <c r="AJ14" s="65" t="n">
        <f aca="false">AG14-AH14</f>
        <v>1</v>
      </c>
      <c r="AK14" s="65" t="n">
        <f aca="false">(AJ14-AJ19)/AJ18</f>
        <v>0.625</v>
      </c>
      <c r="AL14" s="65" t="n">
        <f aca="false">AD14*3+AE14</f>
        <v>5</v>
      </c>
      <c r="AM14" s="65" t="n">
        <f aca="false">AQ14/AQ18*10+AR14/AR18+AU14/AU18*0.1+AS14/AS18*0.01</f>
        <v>0</v>
      </c>
      <c r="AN14" s="65" t="n">
        <f aca="false">VLOOKUP(AC14,db_fifarank,2,0)/2000000</f>
        <v>0.0179815</v>
      </c>
      <c r="AO14" s="67" t="n">
        <f aca="false">10000000*AL14/AL18+100000*AM14/AM18+100*AK14+10*AG14/AG18+1*AM14/AM18+AN14</f>
        <v>8333401.85131483</v>
      </c>
      <c r="AP14" s="68" t="str">
        <f aca="false">IF(SUM(AD14:AF17)=12,M15,INDEX(T,72,lang))</f>
        <v>Wales</v>
      </c>
      <c r="AQ14" s="69" t="n">
        <f aca="false">SUMPRODUCT(($V$7:$V$42=AC14&amp;"_win")*($X$7:$X$42))+SUMPRODUCT(($W$7:$W$42=AC14&amp;"_win")*($X$7:$X$42))</f>
        <v>0</v>
      </c>
      <c r="AR14" s="69" t="n">
        <f aca="false">SUMPRODUCT(($V$7:$V$42=AC14&amp;"_draw")*($X$7:$X$42))+SUMPRODUCT(($W$7:$W$42=AC14&amp;"_draw")*($X$7:$X$42))</f>
        <v>0</v>
      </c>
      <c r="AS14" s="69" t="n">
        <f aca="false">SUMPRODUCT(($E$10:$E$45=AC14)*($X$7:$X$42)*($F$10:$F$45))+SUMPRODUCT(($H$10:$H$45=AC14)*($X$7:$X$42)*($G$10:$G$45))</f>
        <v>0</v>
      </c>
      <c r="AT14" s="69" t="n">
        <f aca="false">SUMPRODUCT(($E$10:$E$45=AC14)*($X$7:$X$42)*($G$10:$G$45))+SUMPRODUCT(($H$10:$H$45=AC14)*($X$7:$X$42)*($F$10:$F$45))</f>
        <v>0</v>
      </c>
      <c r="AU14" s="69" t="n">
        <f aca="false">AS14-AT14</f>
        <v>0</v>
      </c>
      <c r="AZ14" s="96" t="n">
        <v>39</v>
      </c>
      <c r="BA14" s="97" t="str">
        <f aca="false">AP26</f>
        <v>Horvátország</v>
      </c>
      <c r="BB14" s="98" t="n">
        <v>0</v>
      </c>
      <c r="BC14" s="99"/>
      <c r="BD14" s="122"/>
      <c r="BE14" s="78"/>
      <c r="BF14" s="78"/>
      <c r="BG14" s="78"/>
      <c r="BH14" s="78"/>
      <c r="BI14" s="78"/>
      <c r="BJ14" s="117"/>
      <c r="BK14" s="78"/>
      <c r="BL14" s="78"/>
      <c r="BM14" s="78"/>
      <c r="BN14" s="78"/>
      <c r="BO14" s="113"/>
      <c r="BP14" s="78"/>
      <c r="BQ14" s="78"/>
      <c r="BR14" s="78"/>
      <c r="BS14" s="78"/>
      <c r="BT14" s="78"/>
      <c r="BU14" s="78"/>
    </row>
    <row r="15" customFormat="false" ht="12.8" hidden="false" customHeight="false" outlineLevel="0" collapsed="false">
      <c r="A15" s="100" t="n">
        <v>6</v>
      </c>
      <c r="B15" s="101" t="str">
        <f aca="false">INDEX(T,18+INT(MOD(U12-1,7)),lang)</f>
        <v>Vas</v>
      </c>
      <c r="C15" s="102" t="str">
        <f aca="false">INDEX(T,24+MONTH(U12),lang) &amp; " " &amp; DAY(U12) &amp; ", " &amp; YEAR(U12)</f>
        <v>Jún 12, 2016</v>
      </c>
      <c r="D15" s="103" t="n">
        <f aca="false">TIME(HOUR(U12),MINUTE(U12),0)</f>
        <v>0.75</v>
      </c>
      <c r="E15" s="104" t="str">
        <f aca="false">AC22</f>
        <v>Lengyelország</v>
      </c>
      <c r="F15" s="105" t="n">
        <v>1</v>
      </c>
      <c r="G15" s="106" t="n">
        <v>0</v>
      </c>
      <c r="H15" s="107" t="str">
        <f aca="false">AC23</f>
        <v>Észak-Írország</v>
      </c>
      <c r="I15" s="108" t="n">
        <f aca="false">INDEX(T,103,lang)</f>
        <v>0</v>
      </c>
      <c r="J15" s="108"/>
      <c r="K15" s="108"/>
      <c r="L15" s="0"/>
      <c r="M15" s="79" t="str">
        <f aca="false">VLOOKUP(1,AB14:AL17,2,0)</f>
        <v>Wales</v>
      </c>
      <c r="N15" s="80" t="n">
        <f aca="false">O15+P15+Q15</f>
        <v>3</v>
      </c>
      <c r="O15" s="80" t="n">
        <f aca="false">VLOOKUP(1,AB14:AL17,3,0)</f>
        <v>2</v>
      </c>
      <c r="P15" s="80" t="n">
        <f aca="false">VLOOKUP(1,AB14:AL17,4,0)</f>
        <v>0</v>
      </c>
      <c r="Q15" s="80" t="n">
        <f aca="false">VLOOKUP(1,AB14:AL17,5,0)</f>
        <v>1</v>
      </c>
      <c r="R15" s="80" t="str">
        <f aca="false">VLOOKUP(1,AB14:AL17,6,0) &amp; " - " &amp; VLOOKUP(1,AB14:AL17,7,0)</f>
        <v>6 - 3</v>
      </c>
      <c r="S15" s="81" t="n">
        <f aca="false">O15*3+P15</f>
        <v>6</v>
      </c>
      <c r="U15" s="65" t="n">
        <f aca="false">DATE(2016,6,13)+TIME(5,0,0)+gmt_delta</f>
        <v>42534.75</v>
      </c>
      <c r="V15" s="66" t="str">
        <f aca="false">IF(OR(F18="",G18=""),"",IF(F18&gt;G18,E18&amp;"_win",IF(F18&lt;G18,E18&amp;"_lose",E18&amp;"_draw")))</f>
        <v>Ír Köztársaság_draw</v>
      </c>
      <c r="W15" s="66" t="str">
        <f aca="false">IF(V15="","",IF(F18&lt;G18,H18&amp;"_win",IF(F18&gt;G18,H18&amp;"_lose",H18&amp;"_draw")))</f>
        <v>Svédország_draw</v>
      </c>
      <c r="X15" s="67" t="n">
        <f aca="false">IF(V15="",0,IF(VLOOKUP(E18,$AC$8:$AL$53,7,0)=VLOOKUP(H18,$AC$8:$AL$53,7,0),1,0))</f>
        <v>0</v>
      </c>
      <c r="Y15" s="65" t="n">
        <f aca="false">X15*F18</f>
        <v>0</v>
      </c>
      <c r="Z15" s="65" t="n">
        <f aca="false">X15*G18</f>
        <v>0</v>
      </c>
      <c r="AA15" s="0"/>
      <c r="AB15" s="65" t="n">
        <f aca="false">COUNTIF(AO14:AO17,CONCATENATE("&gt;=",AO15))</f>
        <v>1</v>
      </c>
      <c r="AC15" s="67" t="str">
        <f aca="false">INDEX(T,54,lang)</f>
        <v>Wales</v>
      </c>
      <c r="AD15" s="65" t="n">
        <f aca="false">COUNTIF($V$7:$W$42,"=" &amp; AC15 &amp; "_win")</f>
        <v>2</v>
      </c>
      <c r="AE15" s="65" t="n">
        <f aca="false">COUNTIF($V$7:$W$42,"=" &amp; AC15 &amp; "_draw")</f>
        <v>0</v>
      </c>
      <c r="AF15" s="65" t="n">
        <f aca="false">COUNTIF($V$7:$W$42,"=" &amp; AC15 &amp; "_lose")</f>
        <v>1</v>
      </c>
      <c r="AG15" s="65" t="n">
        <f aca="false">SUMIF($E$10:$E$45,$AC15,$F$10:$F$45) + SUMIF($H$10:$H$45,$AC15,$G$10:$G$45)</f>
        <v>6</v>
      </c>
      <c r="AH15" s="65" t="n">
        <f aca="false">SUMIF($E$10:$E$45,$AC15,$G$10:$G$45) + SUMIF($H$10:$H$45,$AC15,$F$10:$F$45)</f>
        <v>3</v>
      </c>
      <c r="AI15" s="65" t="n">
        <f aca="false">AL15*10000</f>
        <v>60000</v>
      </c>
      <c r="AJ15" s="65" t="n">
        <f aca="false">AG15-AH15</f>
        <v>3</v>
      </c>
      <c r="AK15" s="65" t="n">
        <f aca="false">(AJ15-AJ19)/AJ18</f>
        <v>0.875</v>
      </c>
      <c r="AL15" s="65" t="n">
        <f aca="false">AD15*3+AE15</f>
        <v>6</v>
      </c>
      <c r="AM15" s="65" t="n">
        <f aca="false">AQ15/AQ18*10+AR15/AR18+AU15/AU18*0.1+AS15/AS18*0.01</f>
        <v>0</v>
      </c>
      <c r="AN15" s="65" t="n">
        <f aca="false">VLOOKUP(AC15,db_fifarank,2,0)/2000000</f>
        <v>0.0122605</v>
      </c>
      <c r="AO15" s="67" t="n">
        <f aca="false">10000000*AL15/AL18+100000*AM15/AM18+100*AK15+10*AG15/AG18+1*AM15/AM18+AN15</f>
        <v>10000099.5122605</v>
      </c>
      <c r="AP15" s="68" t="str">
        <f aca="false">IF(SUM(AD14:AF17)=12,M16,INDEX(T,73,lang))</f>
        <v>Anglia</v>
      </c>
      <c r="AQ15" s="69" t="n">
        <f aca="false">SUMPRODUCT(($V$7:$V$42=AC15&amp;"_win")*($X$7:$X$42))+SUMPRODUCT(($W$7:$W$42=AC15&amp;"_win")*($X$7:$X$42))</f>
        <v>0</v>
      </c>
      <c r="AR15" s="69" t="n">
        <f aca="false">SUMPRODUCT(($V$7:$V$42=AC15&amp;"_draw")*($X$7:$X$42))+SUMPRODUCT(($W$7:$W$42=AC15&amp;"_draw")*($X$7:$X$42))</f>
        <v>0</v>
      </c>
      <c r="AS15" s="69" t="n">
        <f aca="false">SUMPRODUCT(($E$10:$E$45=AC15)*($X$7:$X$42)*($F$10:$F$45))+SUMPRODUCT(($H$10:$H$45=AC15)*($X$7:$X$42)*($G$10:$G$45))</f>
        <v>0</v>
      </c>
      <c r="AT15" s="69" t="n">
        <f aca="false">SUMPRODUCT(($E$10:$E$45=AC15)*($X$7:$X$42)*($G$10:$G$45))+SUMPRODUCT(($H$10:$H$45=AC15)*($X$7:$X$42)*($F$10:$F$45))</f>
        <v>0</v>
      </c>
      <c r="AU15" s="69" t="n">
        <f aca="false">AS15-AT15</f>
        <v>0</v>
      </c>
      <c r="AZ15" s="96"/>
      <c r="BA15" s="109" t="str">
        <f aca="false">VLOOKUP(lookup_3rd, tbl_lookup_3rd,5,0)</f>
        <v>Portugália</v>
      </c>
      <c r="BB15" s="110" t="n">
        <v>1</v>
      </c>
      <c r="BC15" s="111"/>
      <c r="BD15" s="78"/>
      <c r="BE15" s="78"/>
      <c r="BF15" s="78"/>
      <c r="BG15" s="78"/>
      <c r="BH15" s="78"/>
      <c r="BI15" s="78"/>
      <c r="BJ15" s="117"/>
      <c r="BK15" s="78"/>
      <c r="BL15" s="78" t="str">
        <f aca="false">INDEX(T,24+MONTH(U64),lang) &amp; " " &amp; DAY(U64) &amp; ", " &amp; YEAR(U64) &amp; "   " &amp; TEXT(TIME(HOUR(U64),MINUTE(U64),0),"hh:mm")</f>
        <v>Júl 6, 2016   01:00</v>
      </c>
      <c r="BM15" s="78"/>
      <c r="BN15" s="78"/>
      <c r="BO15" s="113"/>
      <c r="BP15" s="78"/>
      <c r="BQ15" s="78"/>
      <c r="BR15" s="78"/>
      <c r="BS15" s="78"/>
      <c r="BT15" s="78"/>
      <c r="BU15" s="78"/>
    </row>
    <row r="16" customFormat="false" ht="12.75" hidden="false" customHeight="false" outlineLevel="0" collapsed="false">
      <c r="A16" s="100" t="n">
        <v>7</v>
      </c>
      <c r="B16" s="101" t="str">
        <f aca="false">INDEX(T,18+INT(MOD(U13-1,7)),lang)</f>
        <v>Vas</v>
      </c>
      <c r="C16" s="102" t="str">
        <f aca="false">INDEX(T,24+MONTH(U13),lang) &amp; " " &amp; DAY(U13) &amp; ", " &amp; YEAR(U13)</f>
        <v>Jún 12, 2016</v>
      </c>
      <c r="D16" s="103" t="n">
        <f aca="false">TIME(HOUR(U13),MINUTE(U13),0)</f>
        <v>0.875</v>
      </c>
      <c r="E16" s="104" t="str">
        <f aca="false">AC20</f>
        <v>Németország</v>
      </c>
      <c r="F16" s="105" t="n">
        <v>2</v>
      </c>
      <c r="G16" s="106" t="n">
        <v>0</v>
      </c>
      <c r="H16" s="107" t="str">
        <f aca="false">AC21</f>
        <v>Ukrajna</v>
      </c>
      <c r="I16" s="108" t="n">
        <f aca="false">INDEX(T,111,lang)</f>
        <v>0</v>
      </c>
      <c r="J16" s="108"/>
      <c r="K16" s="108"/>
      <c r="L16" s="0"/>
      <c r="M16" s="93" t="str">
        <f aca="false">VLOOKUP(2,AB14:AL17,2,0)</f>
        <v>Anglia</v>
      </c>
      <c r="N16" s="94" t="n">
        <f aca="false">O16+P16+Q16</f>
        <v>3</v>
      </c>
      <c r="O16" s="94" t="n">
        <f aca="false">VLOOKUP(2,AB14:AL17,3,0)</f>
        <v>1</v>
      </c>
      <c r="P16" s="94" t="n">
        <f aca="false">VLOOKUP(2,AB14:AL17,4,0)</f>
        <v>2</v>
      </c>
      <c r="Q16" s="94" t="n">
        <f aca="false">VLOOKUP(2,AB14:AL17,5,0)</f>
        <v>0</v>
      </c>
      <c r="R16" s="94" t="str">
        <f aca="false">VLOOKUP(2,AB14:AL17,6,0) &amp; " - " &amp; VLOOKUP(2,AB14:AL17,7,0)</f>
        <v>3 - 2</v>
      </c>
      <c r="S16" s="95" t="n">
        <f aca="false">O16*3+P16</f>
        <v>5</v>
      </c>
      <c r="U16" s="65" t="n">
        <f aca="false">DATE(2016,6,13)+TIME(8,0,0)+gmt_delta</f>
        <v>42534.875</v>
      </c>
      <c r="V16" s="66" t="str">
        <f aca="false">IF(OR(F19="",G19=""),"",IF(F19&gt;G19,E19&amp;"_win",IF(F19&lt;G19,E19&amp;"_lose",E19&amp;"_draw")))</f>
        <v>Belgium_lose</v>
      </c>
      <c r="W16" s="66" t="str">
        <f aca="false">IF(V16="","",IF(F19&lt;G19,H19&amp;"_win",IF(F19&gt;G19,H19&amp;"_lose",H19&amp;"_draw")))</f>
        <v>Olaszország_win</v>
      </c>
      <c r="X16" s="67" t="n">
        <f aca="false">IF(V16="",0,IF(VLOOKUP(E19,$AC$8:$AL$53,7,0)=VLOOKUP(H19,$AC$8:$AL$53,7,0),1,0))</f>
        <v>1</v>
      </c>
      <c r="Y16" s="65" t="n">
        <f aca="false">X16*F19</f>
        <v>0</v>
      </c>
      <c r="Z16" s="65" t="n">
        <f aca="false">X16*G19</f>
        <v>2</v>
      </c>
      <c r="AA16" s="0"/>
      <c r="AB16" s="65" t="n">
        <f aca="false">COUNTIF(AO14:AO17,CONCATENATE("&gt;=",AO16))</f>
        <v>4</v>
      </c>
      <c r="AC16" s="67" t="str">
        <f aca="false">INDEX(T,69,lang)</f>
        <v>Oroszország</v>
      </c>
      <c r="AD16" s="65" t="n">
        <f aca="false">COUNTIF($V$7:$W$42,"=" &amp; AC16 &amp; "_win")</f>
        <v>0</v>
      </c>
      <c r="AE16" s="65" t="n">
        <f aca="false">COUNTIF($V$7:$W$42,"=" &amp; AC16 &amp; "_draw")</f>
        <v>1</v>
      </c>
      <c r="AF16" s="65" t="n">
        <f aca="false">COUNTIF($V$7:$W$42,"=" &amp; AC16 &amp; "_lose")</f>
        <v>2</v>
      </c>
      <c r="AG16" s="65" t="n">
        <f aca="false">SUMIF($E$10:$E$45,$AC16,$F$10:$F$45) + SUMIF($H$10:$H$45,$AC16,$G$10:$G$45)</f>
        <v>2</v>
      </c>
      <c r="AH16" s="65" t="n">
        <f aca="false">SUMIF($E$10:$E$45,$AC16,$G$10:$G$45) + SUMIF($H$10:$H$45,$AC16,$F$10:$F$45)</f>
        <v>6</v>
      </c>
      <c r="AI16" s="65" t="n">
        <f aca="false">AL16*10000</f>
        <v>10000</v>
      </c>
      <c r="AJ16" s="65" t="n">
        <f aca="false">AG16-AH16</f>
        <v>-4</v>
      </c>
      <c r="AK16" s="65" t="n">
        <f aca="false">(AJ16-AJ19)/AJ18</f>
        <v>0</v>
      </c>
      <c r="AL16" s="65" t="n">
        <f aca="false">AD16*3+AE16</f>
        <v>1</v>
      </c>
      <c r="AM16" s="65" t="n">
        <f aca="false">AQ16/AQ18*10+AR16/AR18+AU16/AU18*0.1+AS16/AS18*0.01</f>
        <v>0</v>
      </c>
      <c r="AN16" s="65" t="n">
        <f aca="false">VLOOKUP(AC16,db_fifarank,2,0)/2000000</f>
        <v>0.0156725</v>
      </c>
      <c r="AO16" s="67" t="n">
        <f aca="false">10000000*AL16/AL18+100000*AM16/AM18+100*AK16+10*AG16/AG18+1*AM16/AM18+AN16</f>
        <v>1666670.68233917</v>
      </c>
      <c r="AP16" s="68" t="str">
        <f aca="false">IF(SUM(AD14:AF17)&gt;0,M17,"3B")</f>
        <v>Szlovákia</v>
      </c>
      <c r="AQ16" s="69" t="n">
        <f aca="false">SUMPRODUCT(($V$7:$V$42=AC16&amp;"_win")*($X$7:$X$42))+SUMPRODUCT(($W$7:$W$42=AC16&amp;"_win")*($X$7:$X$42))</f>
        <v>0</v>
      </c>
      <c r="AR16" s="69" t="n">
        <f aca="false">SUMPRODUCT(($V$7:$V$42=AC16&amp;"_draw")*($X$7:$X$42))+SUMPRODUCT(($W$7:$W$42=AC16&amp;"_draw")*($X$7:$X$42))</f>
        <v>0</v>
      </c>
      <c r="AS16" s="69" t="n">
        <f aca="false">SUMPRODUCT(($E$10:$E$45=AC16)*($X$7:$X$42)*($F$10:$F$45))+SUMPRODUCT(($H$10:$H$45=AC16)*($X$7:$X$42)*($G$10:$G$45))</f>
        <v>0</v>
      </c>
      <c r="AT16" s="69" t="n">
        <f aca="false">SUMPRODUCT(($E$10:$E$45=AC16)*($X$7:$X$42)*($G$10:$G$45))+SUMPRODUCT(($H$10:$H$45=AC16)*($X$7:$X$42)*($F$10:$F$45))</f>
        <v>0</v>
      </c>
      <c r="AU16" s="69" t="n">
        <f aca="false">AS16-AT16</f>
        <v>0</v>
      </c>
      <c r="AZ16" s="82"/>
      <c r="BA16" s="78"/>
      <c r="BB16" s="78"/>
      <c r="BC16" s="78"/>
      <c r="BD16" s="78"/>
      <c r="BE16" s="78"/>
      <c r="BF16" s="78"/>
      <c r="BG16" s="78"/>
      <c r="BH16" s="78"/>
      <c r="BI16" s="78"/>
      <c r="BJ16" s="117"/>
      <c r="BK16" s="78"/>
      <c r="BL16" s="118" t="n">
        <v>49</v>
      </c>
      <c r="BM16" s="97" t="str">
        <f aca="false">W57</f>
        <v>Portugália</v>
      </c>
      <c r="BN16" s="98"/>
      <c r="BO16" s="99"/>
      <c r="BP16" s="78"/>
      <c r="BQ16" s="123"/>
      <c r="BR16" s="78"/>
      <c r="BS16" s="78"/>
      <c r="BT16" s="78"/>
      <c r="BU16" s="78"/>
    </row>
    <row r="17" customFormat="false" ht="12.75" hidden="false" customHeight="false" outlineLevel="0" collapsed="false">
      <c r="A17" s="100" t="n">
        <v>8</v>
      </c>
      <c r="B17" s="101" t="str">
        <f aca="false">INDEX(T,18+INT(MOD(U14-1,7)),lang)</f>
        <v>Hét</v>
      </c>
      <c r="C17" s="102" t="str">
        <f aca="false">INDEX(T,24+MONTH(U14),lang) &amp; " " &amp; DAY(U14) &amp; ", " &amp; YEAR(U14)</f>
        <v>Jún 13, 2016</v>
      </c>
      <c r="D17" s="103" t="n">
        <f aca="false">TIME(HOUR(U14),MINUTE(U14),0)</f>
        <v>0.625</v>
      </c>
      <c r="E17" s="104" t="str">
        <f aca="false">AC26</f>
        <v>Spanyolország</v>
      </c>
      <c r="F17" s="105" t="n">
        <v>1</v>
      </c>
      <c r="G17" s="106" t="n">
        <v>0</v>
      </c>
      <c r="H17" s="107" t="str">
        <f aca="false">AC29</f>
        <v>Cseh Köztársaság</v>
      </c>
      <c r="I17" s="108" t="n">
        <f aca="false">INDEX(T,108,lang)</f>
        <v>0</v>
      </c>
      <c r="J17" s="108"/>
      <c r="K17" s="108"/>
      <c r="L17" s="0"/>
      <c r="M17" s="93" t="str">
        <f aca="false">VLOOKUP(3,AB14:AL17,2,0)</f>
        <v>Szlovákia</v>
      </c>
      <c r="N17" s="94" t="n">
        <f aca="false">O17+P17+Q17</f>
        <v>3</v>
      </c>
      <c r="O17" s="94" t="n">
        <f aca="false">VLOOKUP(3,AB14:AL17,3,0)</f>
        <v>1</v>
      </c>
      <c r="P17" s="94" t="n">
        <f aca="false">VLOOKUP(3,AB14:AL17,4,0)</f>
        <v>1</v>
      </c>
      <c r="Q17" s="94" t="n">
        <f aca="false">VLOOKUP(3,AB14:AL17,5,0)</f>
        <v>1</v>
      </c>
      <c r="R17" s="94" t="str">
        <f aca="false">VLOOKUP(3,AB14:AL17,6,0) &amp; " - " &amp; VLOOKUP(3,AB14:AL17,7,0)</f>
        <v>3 - 3</v>
      </c>
      <c r="S17" s="95" t="n">
        <f aca="false">O17*3+P17</f>
        <v>4</v>
      </c>
      <c r="U17" s="65" t="n">
        <f aca="false">DATE(2016,6,14)+TIME(5,0,0)+gmt_delta</f>
        <v>42535.75</v>
      </c>
      <c r="V17" s="66" t="str">
        <f aca="false">IF(OR(F20="",G20=""),"",IF(F20&gt;G20,E20&amp;"_win",IF(F20&lt;G20,E20&amp;"_lose",E20&amp;"_draw")))</f>
        <v>Ausztria_lose</v>
      </c>
      <c r="W17" s="66" t="str">
        <f aca="false">IF(V17="","",IF(F20&lt;G20,H20&amp;"_win",IF(F20&gt;G20,H20&amp;"_lose",H20&amp;"_draw")))</f>
        <v>Magyarország_win</v>
      </c>
      <c r="X17" s="67" t="n">
        <f aca="false">IF(V17="",0,IF(VLOOKUP(E20,$AC$8:$AL$53,7,0)=VLOOKUP(H20,$AC$8:$AL$53,7,0),1,0))</f>
        <v>0</v>
      </c>
      <c r="Y17" s="65" t="n">
        <f aca="false">X17*F20</f>
        <v>0</v>
      </c>
      <c r="Z17" s="65" t="n">
        <f aca="false">X17*G20</f>
        <v>0</v>
      </c>
      <c r="AA17" s="0"/>
      <c r="AB17" s="65" t="n">
        <f aca="false">COUNTIF(AO14:AO17,CONCATENATE("&gt;=",AO17))</f>
        <v>3</v>
      </c>
      <c r="AC17" s="67" t="str">
        <f aca="false">INDEX(T,51,lang)</f>
        <v>Szlovákia</v>
      </c>
      <c r="AD17" s="65" t="n">
        <f aca="false">COUNTIF($V$7:$W$42,"=" &amp; AC17 &amp; "_win")</f>
        <v>1</v>
      </c>
      <c r="AE17" s="65" t="n">
        <f aca="false">COUNTIF($V$7:$W$42,"=" &amp; AC17 &amp; "_draw")</f>
        <v>1</v>
      </c>
      <c r="AF17" s="65" t="n">
        <f aca="false">COUNTIF($V$7:$W$42,"=" &amp; AC17 &amp; "_lose")</f>
        <v>1</v>
      </c>
      <c r="AG17" s="65" t="n">
        <f aca="false">SUMIF($E$10:$E$45,$AC17,$F$10:$F$45) + SUMIF($H$10:$H$45,$AC17,$G$10:$G$45)</f>
        <v>3</v>
      </c>
      <c r="AH17" s="65" t="n">
        <f aca="false">SUMIF($E$10:$E$45,$AC17,$G$10:$G$45) + SUMIF($H$10:$H$45,$AC17,$F$10:$F$45)</f>
        <v>3</v>
      </c>
      <c r="AI17" s="65" t="n">
        <f aca="false">AL17*10000</f>
        <v>40000</v>
      </c>
      <c r="AJ17" s="65" t="n">
        <f aca="false">AG17-AH17</f>
        <v>0</v>
      </c>
      <c r="AK17" s="65" t="n">
        <f aca="false">(AJ17-AJ19)/AJ18</f>
        <v>0.5</v>
      </c>
      <c r="AL17" s="65" t="n">
        <f aca="false">AD17*3+AE17</f>
        <v>4</v>
      </c>
      <c r="AM17" s="65" t="n">
        <f aca="false">AQ17/AQ18*10+AR17/AR18+AU17/AU18*0.1+AS17/AS18*0.01</f>
        <v>0</v>
      </c>
      <c r="AN17" s="65" t="n">
        <f aca="false">VLOOKUP(AC17,db_fifarank,2,0)/2000000</f>
        <v>0.0135855</v>
      </c>
      <c r="AO17" s="67" t="n">
        <f aca="false">10000000*AL17/AL18+100000*AM17/AM18+100*AK17+10*AG17/AG18+1*AM17/AM18+AN17</f>
        <v>6666722.68025217</v>
      </c>
      <c r="AP17" s="0"/>
      <c r="AQ17" s="69" t="n">
        <f aca="false">SUMPRODUCT(($V$7:$V$42=AC17&amp;"_win")*($X$7:$X$42))+SUMPRODUCT(($W$7:$W$42=AC17&amp;"_win")*($X$7:$X$42))</f>
        <v>0</v>
      </c>
      <c r="AR17" s="69" t="n">
        <f aca="false">SUMPRODUCT(($V$7:$V$42=AC17&amp;"_draw")*($X$7:$X$42))+SUMPRODUCT(($W$7:$W$42=AC17&amp;"_draw")*($X$7:$X$42))</f>
        <v>0</v>
      </c>
      <c r="AS17" s="69" t="n">
        <f aca="false">SUMPRODUCT(($E$10:$E$45=AC17)*($X$7:$X$42)*($F$10:$F$45))+SUMPRODUCT(($H$10:$H$45=AC17)*($X$7:$X$42)*($G$10:$G$45))</f>
        <v>0</v>
      </c>
      <c r="AT17" s="69" t="n">
        <f aca="false">SUMPRODUCT(($E$10:$E$45=AC17)*($X$7:$X$42)*($G$10:$G$45))+SUMPRODUCT(($H$10:$H$45=AC17)*($X$7:$X$42)*($F$10:$F$45))</f>
        <v>0</v>
      </c>
      <c r="AU17" s="69" t="n">
        <f aca="false">AS17-AT17</f>
        <v>0</v>
      </c>
      <c r="AZ17" s="82" t="str">
        <f aca="false">INDEX(T,24+MONTH(U47),lang) &amp; " " &amp; DAY(U47) &amp; ", " &amp; YEAR(U47) &amp; "   " &amp; TEXT(TIME(HOUR(U47),MINUTE(U47),0),"hh:mm")</f>
        <v>Jún 25, 2016   01:00</v>
      </c>
      <c r="BA17" s="78"/>
      <c r="BB17" s="78"/>
      <c r="BC17" s="113"/>
      <c r="BD17" s="78"/>
      <c r="BE17" s="78"/>
      <c r="BF17" s="78"/>
      <c r="BG17" s="78"/>
      <c r="BH17" s="78"/>
      <c r="BI17" s="78"/>
      <c r="BJ17" s="117"/>
      <c r="BK17" s="121"/>
      <c r="BL17" s="118"/>
      <c r="BM17" s="109" t="str">
        <f aca="false">W58</f>
        <v>Wales</v>
      </c>
      <c r="BN17" s="110"/>
      <c r="BO17" s="111"/>
      <c r="BP17" s="112"/>
      <c r="BQ17" s="124"/>
      <c r="BR17" s="78"/>
      <c r="BS17" s="78"/>
      <c r="BT17" s="78"/>
      <c r="BU17" s="78"/>
    </row>
    <row r="18" customFormat="false" ht="12.8" hidden="false" customHeight="false" outlineLevel="0" collapsed="false">
      <c r="A18" s="100" t="n">
        <v>9</v>
      </c>
      <c r="B18" s="101" t="str">
        <f aca="false">INDEX(T,18+INT(MOD(U15-1,7)),lang)</f>
        <v>Hét</v>
      </c>
      <c r="C18" s="102" t="str">
        <f aca="false">INDEX(T,24+MONTH(U15),lang) &amp; " " &amp; DAY(U15) &amp; ", " &amp; YEAR(U15)</f>
        <v>Jún 13, 2016</v>
      </c>
      <c r="D18" s="103" t="n">
        <f aca="false">TIME(HOUR(U15),MINUTE(U15),0)</f>
        <v>0.75</v>
      </c>
      <c r="E18" s="104" t="str">
        <f aca="false">AC33</f>
        <v>Ír Köztársaság</v>
      </c>
      <c r="F18" s="105" t="n">
        <v>1</v>
      </c>
      <c r="G18" s="106" t="n">
        <v>1</v>
      </c>
      <c r="H18" s="107" t="str">
        <f aca="false">AC35</f>
        <v>Svédország</v>
      </c>
      <c r="I18" s="108" t="n">
        <f aca="false">INDEX(T,114,lang)</f>
        <v>0</v>
      </c>
      <c r="J18" s="108"/>
      <c r="K18" s="108"/>
      <c r="L18" s="0"/>
      <c r="M18" s="114" t="str">
        <f aca="false">VLOOKUP(4,AB14:AL17,2,0)</f>
        <v>Oroszország</v>
      </c>
      <c r="N18" s="115" t="n">
        <f aca="false">O18+P18+Q18</f>
        <v>3</v>
      </c>
      <c r="O18" s="115" t="n">
        <f aca="false">VLOOKUP(4,AB14:AL17,3,0)</f>
        <v>0</v>
      </c>
      <c r="P18" s="115" t="n">
        <f aca="false">VLOOKUP(4,AB14:AL17,4,0)</f>
        <v>1</v>
      </c>
      <c r="Q18" s="115" t="n">
        <f aca="false">VLOOKUP(4,AB14:AL17,5,0)</f>
        <v>2</v>
      </c>
      <c r="R18" s="115" t="str">
        <f aca="false">VLOOKUP(4,AB14:AL17,6,0) &amp; " - " &amp; VLOOKUP(4,AB14:AL17,7,0)</f>
        <v>2 - 6</v>
      </c>
      <c r="S18" s="116" t="n">
        <f aca="false">O18*3+P18</f>
        <v>1</v>
      </c>
      <c r="U18" s="65" t="n">
        <f aca="false">DATE(2016,6,14)+TIME(8,0,0)+gmt_delta</f>
        <v>42535.875</v>
      </c>
      <c r="V18" s="66" t="str">
        <f aca="false">IF(OR(F21="",G21=""),"",IF(F21&gt;G21,E21&amp;"_win",IF(F21&lt;G21,E21&amp;"_lose",E21&amp;"_draw")))</f>
        <v>Portugália_draw</v>
      </c>
      <c r="W18" s="66" t="str">
        <f aca="false">IF(V18="","",IF(F21&lt;G21,H21&amp;"_win",IF(F21&gt;G21,H21&amp;"_lose",H21&amp;"_draw")))</f>
        <v>Izland_draw</v>
      </c>
      <c r="X18" s="67" t="n">
        <f aca="false">IF(V18="",0,IF(VLOOKUP(E21,$AC$8:$AL$53,7,0)=VLOOKUP(H21,$AC$8:$AL$53,7,0),1,0))</f>
        <v>0</v>
      </c>
      <c r="Y18" s="65" t="n">
        <f aca="false">X18*F21</f>
        <v>0</v>
      </c>
      <c r="Z18" s="65" t="n">
        <f aca="false">X18*G21</f>
        <v>0</v>
      </c>
      <c r="AA18" s="0"/>
      <c r="AB18" s="0"/>
      <c r="AC18" s="0"/>
      <c r="AD18" s="65" t="n">
        <f aca="false">MAX(AD14:AD17)-MIN(AD14:AD17)+1</f>
        <v>3</v>
      </c>
      <c r="AE18" s="65" t="n">
        <f aca="false">MAX(AE14:AE17)-MIN(AE14:AE17)+1</f>
        <v>3</v>
      </c>
      <c r="AF18" s="65" t="n">
        <f aca="false">MAX(AF14:AF17)-MIN(AF14:AF17)+1</f>
        <v>3</v>
      </c>
      <c r="AG18" s="65" t="n">
        <f aca="false">MAX(AG14:AG17)-MIN(AG14:AG17)+1</f>
        <v>5</v>
      </c>
      <c r="AH18" s="65" t="n">
        <f aca="false">MAX(AH14:AH17)-MIN(AH14:AH17)+1</f>
        <v>5</v>
      </c>
      <c r="AI18" s="65" t="n">
        <f aca="false">MAX(AI14:AI17)-AI19+1</f>
        <v>50001</v>
      </c>
      <c r="AJ18" s="65" t="n">
        <f aca="false">MAX(AJ14:AJ17)-AJ19+1</f>
        <v>8</v>
      </c>
      <c r="AK18" s="0"/>
      <c r="AL18" s="65" t="n">
        <f aca="false">MAX(AL14:AL17)-MIN(AL14:AL17)+1</f>
        <v>6</v>
      </c>
      <c r="AM18" s="65" t="n">
        <f aca="false">MAX(AM14:AM17)-MIN(AM14:AM17)+1</f>
        <v>1</v>
      </c>
      <c r="AN18" s="0"/>
      <c r="AO18" s="0"/>
      <c r="AP18" s="0"/>
      <c r="AQ18" s="65" t="n">
        <f aca="false">MAX(AQ14:AQ17)-MIN(AQ14:AQ17)+1</f>
        <v>1</v>
      </c>
      <c r="AR18" s="65" t="n">
        <f aca="false">MAX(AR14:AR17)-MIN(AR14:AR17)+1</f>
        <v>1</v>
      </c>
      <c r="AS18" s="65" t="n">
        <f aca="false">MAX(AS14:AS17)-MIN(AS14:AS17)+1</f>
        <v>1</v>
      </c>
      <c r="AT18" s="65" t="n">
        <f aca="false">MAX(AT14:AT17)-MIN(AT14:AT17)+1</f>
        <v>1</v>
      </c>
      <c r="AU18" s="65" t="n">
        <f aca="false">MAX(AU14:AU17)-MIN(AU14:AU17)+1</f>
        <v>1</v>
      </c>
      <c r="AZ18" s="96" t="n">
        <v>38</v>
      </c>
      <c r="BA18" s="97" t="str">
        <f aca="false">AP14</f>
        <v>Wales</v>
      </c>
      <c r="BB18" s="98" t="n">
        <v>1</v>
      </c>
      <c r="BC18" s="99"/>
      <c r="BD18" s="78"/>
      <c r="BE18" s="78"/>
      <c r="BF18" s="78"/>
      <c r="BG18" s="78"/>
      <c r="BH18" s="78"/>
      <c r="BI18" s="78"/>
      <c r="BJ18" s="117"/>
      <c r="BK18" s="78"/>
      <c r="BL18" s="78"/>
      <c r="BM18" s="78"/>
      <c r="BN18" s="78"/>
      <c r="BO18" s="78"/>
      <c r="BP18" s="117"/>
      <c r="BQ18" s="78"/>
      <c r="BR18" s="78"/>
      <c r="BS18" s="78"/>
      <c r="BT18" s="78"/>
      <c r="BU18" s="78"/>
    </row>
    <row r="19" customFormat="false" ht="12.8" hidden="false" customHeight="false" outlineLevel="0" collapsed="false">
      <c r="A19" s="100" t="n">
        <v>10</v>
      </c>
      <c r="B19" s="101" t="str">
        <f aca="false">INDEX(T,18+INT(MOD(U16-1,7)),lang)</f>
        <v>Hét</v>
      </c>
      <c r="C19" s="102" t="str">
        <f aca="false">INDEX(T,24+MONTH(U16),lang) &amp; " " &amp; DAY(U16) &amp; ", " &amp; YEAR(U16)</f>
        <v>Jún 13, 2016</v>
      </c>
      <c r="D19" s="103" t="n">
        <f aca="false">TIME(HOUR(U16),MINUTE(U16),0)</f>
        <v>0.875</v>
      </c>
      <c r="E19" s="104" t="str">
        <f aca="false">AC32</f>
        <v>Belgium</v>
      </c>
      <c r="F19" s="105" t="n">
        <v>0</v>
      </c>
      <c r="G19" s="106" t="n">
        <v>2</v>
      </c>
      <c r="H19" s="107" t="str">
        <f aca="false">AC34</f>
        <v>Olaszország</v>
      </c>
      <c r="I19" s="108" t="n">
        <f aca="false">INDEX(T,110,lang)</f>
        <v>0</v>
      </c>
      <c r="J19" s="108"/>
      <c r="K19" s="108"/>
      <c r="L19" s="0"/>
      <c r="M19" s="119"/>
      <c r="N19" s="120"/>
      <c r="O19" s="120"/>
      <c r="P19" s="120"/>
      <c r="Q19" s="120"/>
      <c r="R19" s="120"/>
      <c r="S19" s="120"/>
      <c r="U19" s="65" t="n">
        <f aca="false">DATE(2016,6,15)+TIME(2,0,0)+gmt_delta</f>
        <v>42536.625</v>
      </c>
      <c r="V19" s="66" t="str">
        <f aca="false">IF(OR(F22="",G22=""),"",IF(F22&gt;G22,E22&amp;"_win",IF(F22&lt;G22,E22&amp;"_lose",E22&amp;"_draw")))</f>
        <v>Oroszország_lose</v>
      </c>
      <c r="W19" s="66" t="str">
        <f aca="false">IF(V19="","",IF(F22&lt;G22,H22&amp;"_win",IF(F22&gt;G22,H22&amp;"_lose",H22&amp;"_draw")))</f>
        <v>Szlovákia_win</v>
      </c>
      <c r="X19" s="67" t="n">
        <f aca="false">IF(V19="",0,IF(VLOOKUP(E22,$AC$8:$AL$53,7,0)=VLOOKUP(H22,$AC$8:$AL$53,7,0),1,0))</f>
        <v>0</v>
      </c>
      <c r="Y19" s="65" t="n">
        <f aca="false">X19*F22</f>
        <v>0</v>
      </c>
      <c r="Z19" s="65" t="n">
        <f aca="false">X19*G22</f>
        <v>0</v>
      </c>
      <c r="AA19" s="0"/>
      <c r="AB19" s="0"/>
      <c r="AC19" s="0"/>
      <c r="AD19" s="0"/>
      <c r="AE19" s="0"/>
      <c r="AF19" s="0"/>
      <c r="AG19" s="0"/>
      <c r="AH19" s="0"/>
      <c r="AI19" s="65" t="n">
        <f aca="false">MIN(AI14:AI17)</f>
        <v>10000</v>
      </c>
      <c r="AJ19" s="65" t="n">
        <f aca="false">MIN(AJ14:AJ17)</f>
        <v>-4</v>
      </c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Z19" s="96"/>
      <c r="BA19" s="109" t="str">
        <f aca="false">VLOOKUP(lookup_3rd, tbl_lookup_3rd,3,0)</f>
        <v>Észak-Írország</v>
      </c>
      <c r="BB19" s="110" t="n">
        <v>0</v>
      </c>
      <c r="BC19" s="111"/>
      <c r="BD19" s="112"/>
      <c r="BE19" s="78"/>
      <c r="BF19" s="78" t="str">
        <f aca="false">INDEX(T,24+MONTH(U58),lang) &amp; " " &amp; DAY(U58) &amp; ", " &amp; YEAR(U58) &amp; "   " &amp; TEXT(TIME(HOUR(U58),MINUTE(U58),0),"hh:mm")</f>
        <v>Júl 1, 2016   01:00</v>
      </c>
      <c r="BG19" s="78"/>
      <c r="BH19" s="78"/>
      <c r="BI19" s="113"/>
      <c r="BJ19" s="117"/>
      <c r="BK19" s="78"/>
      <c r="BL19" s="78"/>
      <c r="BM19" s="78"/>
      <c r="BN19" s="78"/>
      <c r="BO19" s="78"/>
      <c r="BP19" s="117"/>
      <c r="BQ19" s="78"/>
      <c r="BR19" s="78"/>
      <c r="BS19" s="78"/>
      <c r="BT19" s="78"/>
      <c r="BU19" s="78"/>
    </row>
    <row r="20" customFormat="false" ht="12.75" hidden="false" customHeight="false" outlineLevel="0" collapsed="false">
      <c r="A20" s="100" t="n">
        <v>11</v>
      </c>
      <c r="B20" s="101" t="str">
        <f aca="false">INDEX(T,18+INT(MOD(U17-1,7)),lang)</f>
        <v>Ke</v>
      </c>
      <c r="C20" s="102" t="str">
        <f aca="false">INDEX(T,24+MONTH(U17),lang) &amp; " " &amp; DAY(U17) &amp; ", " &amp; YEAR(U17)</f>
        <v>Jún 14, 2016</v>
      </c>
      <c r="D20" s="103" t="n">
        <f aca="false">TIME(HOUR(U17),MINUTE(U17),0)</f>
        <v>0.75</v>
      </c>
      <c r="E20" s="104" t="str">
        <f aca="false">AC40</f>
        <v>Ausztria</v>
      </c>
      <c r="F20" s="105" t="n">
        <v>0</v>
      </c>
      <c r="G20" s="106" t="n">
        <v>2</v>
      </c>
      <c r="H20" s="107" t="str">
        <f aca="false">AC41</f>
        <v>Magyarország</v>
      </c>
      <c r="I20" s="108" t="n">
        <f aca="false">INDEX(T,113,lang)</f>
        <v>0</v>
      </c>
      <c r="J20" s="108"/>
      <c r="K20" s="108"/>
      <c r="L20" s="0"/>
      <c r="M20" s="76" t="str">
        <f aca="false">INDEX(T,9,lang) &amp; " " &amp; "C"</f>
        <v>Csoport C</v>
      </c>
      <c r="N20" s="77" t="str">
        <f aca="false">INDEX(T,10,lang)</f>
        <v>M</v>
      </c>
      <c r="O20" s="77" t="str">
        <f aca="false">INDEX(T,11,lang)</f>
        <v>GY</v>
      </c>
      <c r="P20" s="77" t="str">
        <f aca="false">INDEX(T,12,lang)</f>
        <v>D</v>
      </c>
      <c r="Q20" s="77" t="str">
        <f aca="false">INDEX(T,13,lang)</f>
        <v>V</v>
      </c>
      <c r="R20" s="77" t="str">
        <f aca="false">INDEX(T,14,lang)</f>
        <v>Gólkül.</v>
      </c>
      <c r="S20" s="77" t="str">
        <f aca="false">INDEX(T,15,lang)</f>
        <v>PNT</v>
      </c>
      <c r="U20" s="65" t="n">
        <f aca="false">DATE(2016,6,15)+TIME(5,0,0)+gmt_delta</f>
        <v>42536.75</v>
      </c>
      <c r="V20" s="66" t="str">
        <f aca="false">IF(OR(F23="",G23=""),"",IF(F23&gt;G23,E23&amp;"_win",IF(F23&lt;G23,E23&amp;"_lose",E23&amp;"_draw")))</f>
        <v>Románia_draw</v>
      </c>
      <c r="W20" s="66" t="str">
        <f aca="false">IF(V20="","",IF(F23&lt;G23,H23&amp;"_win",IF(F23&gt;G23,H23&amp;"_lose",H23&amp;"_draw")))</f>
        <v>Svájc_draw</v>
      </c>
      <c r="X20" s="67" t="n">
        <f aca="false">IF(V20="",0,IF(VLOOKUP(E23,$AC$8:$AL$53,7,0)=VLOOKUP(H23,$AC$8:$AL$53,7,0),1,0))</f>
        <v>0</v>
      </c>
      <c r="Y20" s="65" t="n">
        <f aca="false">X20*F23</f>
        <v>0</v>
      </c>
      <c r="Z20" s="65" t="n">
        <f aca="false">X20*G23</f>
        <v>0</v>
      </c>
      <c r="AA20" s="0"/>
      <c r="AB20" s="65" t="n">
        <f aca="false">COUNTIF(AO20:AO23,CONCATENATE("&gt;=",AO20))</f>
        <v>1</v>
      </c>
      <c r="AC20" s="67" t="str">
        <f aca="false">INDEX(T,52,lang)</f>
        <v>Németország</v>
      </c>
      <c r="AD20" s="65" t="n">
        <f aca="false">COUNTIF($V$7:$W$42,"=" &amp; AC20 &amp; "_win")</f>
        <v>2</v>
      </c>
      <c r="AE20" s="65" t="n">
        <f aca="false">COUNTIF($V$7:$W$42,"=" &amp; AC20 &amp; "_draw")</f>
        <v>1</v>
      </c>
      <c r="AF20" s="65" t="n">
        <f aca="false">COUNTIF($V$7:$W$42,"=" &amp; AC20 &amp; "_lose")</f>
        <v>0</v>
      </c>
      <c r="AG20" s="65" t="n">
        <f aca="false">SUMIF($E$10:$E$45,$AC20,$F$10:$F$45) + SUMIF($H$10:$H$45,$AC20,$G$10:$G$45)</f>
        <v>3</v>
      </c>
      <c r="AH20" s="65" t="n">
        <f aca="false">SUMIF($E$10:$E$45,$AC20,$G$10:$G$45) + SUMIF($H$10:$H$45,$AC20,$F$10:$F$45)</f>
        <v>0</v>
      </c>
      <c r="AI20" s="65" t="n">
        <f aca="false">AL20*10000</f>
        <v>70000</v>
      </c>
      <c r="AJ20" s="65" t="n">
        <f aca="false">AG20-AH20</f>
        <v>3</v>
      </c>
      <c r="AK20" s="65" t="n">
        <f aca="false">(AJ20-AJ25)/AJ24</f>
        <v>0.888888888888889</v>
      </c>
      <c r="AL20" s="65" t="n">
        <f aca="false">AD20*3+AE20</f>
        <v>7</v>
      </c>
      <c r="AM20" s="65" t="n">
        <f aca="false">AQ20/AQ24*10+AR20/AR24+AU20/AU24*0.1+AS20/AS24*0.01</f>
        <v>0.5</v>
      </c>
      <c r="AN20" s="65" t="n">
        <f aca="false">VLOOKUP(AC20,db_fifarank,2,0)/2000000</f>
        <v>0.020118</v>
      </c>
      <c r="AO20" s="67" t="n">
        <f aca="false">10000000*AL20/AL24+100000*AM20/AM24+100*AK20+10*AG20/AG24+1*AM20/AM24+AN20</f>
        <v>8783430.07567356</v>
      </c>
      <c r="AP20" s="68" t="str">
        <f aca="false">IF(SUM(AD20:AF23)=12,M21,INDEX(T,74,lang))</f>
        <v>Németország</v>
      </c>
      <c r="AQ20" s="69" t="n">
        <f aca="false">SUMPRODUCT(($V$7:$V$42=AC20&amp;"_win")*($X$7:$X$42))+SUMPRODUCT(($W$7:$W$42=AC20&amp;"_win")*($X$7:$X$42))</f>
        <v>0</v>
      </c>
      <c r="AR20" s="69" t="n">
        <f aca="false">SUMPRODUCT(($V$7:$V$42=AC20&amp;"_draw")*($X$7:$X$42))+SUMPRODUCT(($W$7:$W$42=AC20&amp;"_draw")*($X$7:$X$42))</f>
        <v>1</v>
      </c>
      <c r="AS20" s="69" t="n">
        <f aca="false">SUMPRODUCT(($E$10:$E$45=AC20)*($X$7:$X$42)*($F$10:$F$45))+SUMPRODUCT(($H$10:$H$45=AC20)*($X$7:$X$42)*($G$10:$G$45))</f>
        <v>0</v>
      </c>
      <c r="AT20" s="69" t="n">
        <f aca="false">SUMPRODUCT(($E$10:$E$45=AC20)*($X$7:$X$42)*($G$10:$G$45))+SUMPRODUCT(($H$10:$H$45=AC20)*($X$7:$X$42)*($F$10:$F$45))</f>
        <v>0</v>
      </c>
      <c r="AU20" s="69" t="n">
        <f aca="false">AS20-AT20</f>
        <v>0</v>
      </c>
      <c r="AZ20" s="82"/>
      <c r="BA20" s="78"/>
      <c r="BB20" s="78"/>
      <c r="BC20" s="78"/>
      <c r="BD20" s="117"/>
      <c r="BE20" s="78"/>
      <c r="BF20" s="118" t="n">
        <v>46</v>
      </c>
      <c r="BG20" s="97" t="str">
        <f aca="false">W50</f>
        <v>Wales</v>
      </c>
      <c r="BH20" s="98" t="n">
        <v>3</v>
      </c>
      <c r="BI20" s="99"/>
      <c r="BJ20" s="122"/>
      <c r="BK20" s="78"/>
      <c r="BL20" s="78"/>
      <c r="BM20" s="78"/>
      <c r="BN20" s="78"/>
      <c r="BO20" s="78"/>
      <c r="BP20" s="117"/>
      <c r="BQ20" s="78"/>
      <c r="BR20" s="78"/>
      <c r="BS20" s="78"/>
      <c r="BT20" s="78"/>
      <c r="BU20" s="78"/>
    </row>
    <row r="21" customFormat="false" ht="12.75" hidden="false" customHeight="false" outlineLevel="0" collapsed="false">
      <c r="A21" s="100" t="n">
        <v>12</v>
      </c>
      <c r="B21" s="101" t="str">
        <f aca="false">INDEX(T,18+INT(MOD(U18-1,7)),lang)</f>
        <v>Ke</v>
      </c>
      <c r="C21" s="102" t="str">
        <f aca="false">INDEX(T,24+MONTH(U18),lang) &amp; " " &amp; DAY(U18) &amp; ", " &amp; YEAR(U18)</f>
        <v>Jún 14, 2016</v>
      </c>
      <c r="D21" s="103" t="n">
        <f aca="false">TIME(HOUR(U18),MINUTE(U18),0)</f>
        <v>0.875</v>
      </c>
      <c r="E21" s="104" t="str">
        <f aca="false">AC38</f>
        <v>Portugália</v>
      </c>
      <c r="F21" s="105" t="n">
        <v>1</v>
      </c>
      <c r="G21" s="106" t="n">
        <v>1</v>
      </c>
      <c r="H21" s="107" t="str">
        <f aca="false">AC39</f>
        <v>Izland</v>
      </c>
      <c r="I21" s="108" t="n">
        <f aca="false">INDEX(T,112,lang)</f>
        <v>0</v>
      </c>
      <c r="J21" s="108"/>
      <c r="K21" s="108"/>
      <c r="L21" s="0"/>
      <c r="M21" s="79" t="str">
        <f aca="false">VLOOKUP(1,AB20:AL23,2,0)</f>
        <v>Németország</v>
      </c>
      <c r="N21" s="80" t="n">
        <f aca="false">O21+P21+Q21</f>
        <v>3</v>
      </c>
      <c r="O21" s="80" t="n">
        <f aca="false">VLOOKUP(1,AB20:AL23,3,0)</f>
        <v>2</v>
      </c>
      <c r="P21" s="80" t="n">
        <f aca="false">VLOOKUP(1,AB20:AL23,4,0)</f>
        <v>1</v>
      </c>
      <c r="Q21" s="80" t="n">
        <f aca="false">VLOOKUP(1,AB20:AL23,5,0)</f>
        <v>0</v>
      </c>
      <c r="R21" s="80" t="str">
        <f aca="false">VLOOKUP(1,AB20:AL23,6,0) &amp; " - " &amp; VLOOKUP(1,AB20:AL23,7,0)</f>
        <v>3 - 0</v>
      </c>
      <c r="S21" s="81" t="n">
        <f aca="false">O21*3+P21</f>
        <v>7</v>
      </c>
      <c r="U21" s="65" t="n">
        <f aca="false">DATE(2016,6,15)+TIME(8,0,0)+gmt_delta</f>
        <v>42536.875</v>
      </c>
      <c r="V21" s="66" t="str">
        <f aca="false">IF(OR(F24="",G24=""),"",IF(F24&gt;G24,E24&amp;"_win",IF(F24&lt;G24,E24&amp;"_lose",E24&amp;"_draw")))</f>
        <v>Franciaország_win</v>
      </c>
      <c r="W21" s="66" t="str">
        <f aca="false">IF(V21="","",IF(F24&lt;G24,H24&amp;"_win",IF(F24&gt;G24,H24&amp;"_lose",H24&amp;"_draw")))</f>
        <v>Albánia_lose</v>
      </c>
      <c r="X21" s="67" t="n">
        <f aca="false">IF(V21="",0,IF(VLOOKUP(E24,$AC$8:$AL$53,7,0)=VLOOKUP(H24,$AC$8:$AL$53,7,0),1,0))</f>
        <v>0</v>
      </c>
      <c r="Y21" s="65" t="n">
        <f aca="false">X21*F24</f>
        <v>0</v>
      </c>
      <c r="Z21" s="65" t="n">
        <f aca="false">X21*G24</f>
        <v>0</v>
      </c>
      <c r="AA21" s="0"/>
      <c r="AB21" s="65" t="n">
        <f aca="false">COUNTIF(AO20:AO23,CONCATENATE("&gt;=",AO21))</f>
        <v>4</v>
      </c>
      <c r="AC21" s="67" t="str">
        <f aca="false">INDEX(T,45,lang)</f>
        <v>Ukrajna</v>
      </c>
      <c r="AD21" s="65" t="n">
        <f aca="false">COUNTIF($V$7:$W$42,"=" &amp; AC21 &amp; "_win")</f>
        <v>0</v>
      </c>
      <c r="AE21" s="65" t="n">
        <f aca="false">COUNTIF($V$7:$W$42,"=" &amp; AC21 &amp; "_draw")</f>
        <v>0</v>
      </c>
      <c r="AF21" s="65" t="n">
        <f aca="false">COUNTIF($V$7:$W$42,"=" &amp; AC21 &amp; "_lose")</f>
        <v>3</v>
      </c>
      <c r="AG21" s="65" t="n">
        <f aca="false">SUMIF($E$10:$E$45,$AC21,$F$10:$F$45) + SUMIF($H$10:$H$45,$AC21,$G$10:$G$45)</f>
        <v>0</v>
      </c>
      <c r="AH21" s="65" t="n">
        <f aca="false">SUMIF($E$10:$E$45,$AC21,$G$10:$G$45) + SUMIF($H$10:$H$45,$AC21,$F$10:$F$45)</f>
        <v>5</v>
      </c>
      <c r="AI21" s="65" t="n">
        <f aca="false">AL21*10000</f>
        <v>0</v>
      </c>
      <c r="AJ21" s="65" t="n">
        <f aca="false">AG21-AH21</f>
        <v>-5</v>
      </c>
      <c r="AK21" s="65" t="n">
        <f aca="false">(AJ21-AJ25)/AJ24</f>
        <v>0</v>
      </c>
      <c r="AL21" s="65" t="n">
        <f aca="false">AD21*3+AE21</f>
        <v>0</v>
      </c>
      <c r="AM21" s="65" t="n">
        <f aca="false">AQ21/AQ24*10+AR21/AR24+AU21/AU24*0.1+AS21/AS24*0.01</f>
        <v>0</v>
      </c>
      <c r="AN21" s="65" t="n">
        <f aca="false">VLOOKUP(AC21,db_fifarank,2,0)/2000000</f>
        <v>0.0151565</v>
      </c>
      <c r="AO21" s="67" t="n">
        <f aca="false">10000000*AL21/AL24+100000*AM21/AM24+100*AK21+10*AG21/AG24+1*AM21/AM24+AN21</f>
        <v>0.0151565</v>
      </c>
      <c r="AP21" s="68" t="str">
        <f aca="false">IF(SUM(AD20:AF23)=12,M22,INDEX(T,75,lang))</f>
        <v>Lengyelország</v>
      </c>
      <c r="AQ21" s="69" t="n">
        <f aca="false">SUMPRODUCT(($V$7:$V$42=AC21&amp;"_win")*($X$7:$X$42))+SUMPRODUCT(($W$7:$W$42=AC21&amp;"_win")*($X$7:$X$42))</f>
        <v>0</v>
      </c>
      <c r="AR21" s="69" t="n">
        <f aca="false">SUMPRODUCT(($V$7:$V$42=AC21&amp;"_draw")*($X$7:$X$42))+SUMPRODUCT(($W$7:$W$42=AC21&amp;"_draw")*($X$7:$X$42))</f>
        <v>0</v>
      </c>
      <c r="AS21" s="69" t="n">
        <f aca="false">SUMPRODUCT(($E$10:$E$45=AC21)*($X$7:$X$42)*($F$10:$F$45))+SUMPRODUCT(($H$10:$H$45=AC21)*($X$7:$X$42)*($G$10:$G$45))</f>
        <v>0</v>
      </c>
      <c r="AT21" s="69" t="n">
        <f aca="false">SUMPRODUCT(($E$10:$E$45=AC21)*($X$7:$X$42)*($G$10:$G$45))+SUMPRODUCT(($H$10:$H$45=AC21)*($X$7:$X$42)*($F$10:$F$45))</f>
        <v>0</v>
      </c>
      <c r="AU21" s="69" t="n">
        <f aca="false">AS21-AT21</f>
        <v>0</v>
      </c>
      <c r="AZ21" s="82" t="str">
        <f aca="false">INDEX(T,24+MONTH(U51),lang) &amp; " " &amp; DAY(U51) &amp; ", " &amp; YEAR(U51) &amp; "   " &amp; TEXT(TIME(HOUR(U51),MINUTE(U51),0),"hh:mm")</f>
        <v>Jún 26, 2016   01:00</v>
      </c>
      <c r="BA21" s="78"/>
      <c r="BB21" s="78"/>
      <c r="BC21" s="113"/>
      <c r="BD21" s="117"/>
      <c r="BE21" s="121"/>
      <c r="BF21" s="118"/>
      <c r="BG21" s="109" t="str">
        <f aca="false">W51</f>
        <v>Belgium</v>
      </c>
      <c r="BH21" s="110" t="n">
        <v>1</v>
      </c>
      <c r="BI21" s="111"/>
      <c r="BJ21" s="78"/>
      <c r="BK21" s="78"/>
      <c r="BL21" s="78"/>
      <c r="BM21" s="78"/>
      <c r="BN21" s="78"/>
      <c r="BO21" s="78"/>
      <c r="BP21" s="117"/>
      <c r="BQ21" s="78"/>
      <c r="BR21" s="78"/>
      <c r="BS21" s="78"/>
      <c r="BT21" s="78"/>
      <c r="BU21" s="78"/>
    </row>
    <row r="22" customFormat="false" ht="12.8" hidden="false" customHeight="false" outlineLevel="0" collapsed="false">
      <c r="A22" s="100" t="n">
        <v>13</v>
      </c>
      <c r="B22" s="101" t="str">
        <f aca="false">INDEX(T,18+INT(MOD(U19-1,7)),lang)</f>
        <v>Sze</v>
      </c>
      <c r="C22" s="102" t="str">
        <f aca="false">INDEX(T,24+MONTH(U19),lang) &amp; " " &amp; DAY(U19) &amp; ", " &amp; YEAR(U19)</f>
        <v>Jún 15, 2016</v>
      </c>
      <c r="D22" s="103" t="n">
        <f aca="false">TIME(HOUR(U19),MINUTE(U19),0)</f>
        <v>0.625</v>
      </c>
      <c r="E22" s="104" t="str">
        <f aca="false">AC16</f>
        <v>Oroszország</v>
      </c>
      <c r="F22" s="105" t="n">
        <v>1</v>
      </c>
      <c r="G22" s="106" t="n">
        <v>2</v>
      </c>
      <c r="H22" s="107" t="str">
        <f aca="false">AC17</f>
        <v>Szlovákia</v>
      </c>
      <c r="I22" s="108" t="n">
        <f aca="false">INDEX(T,111,lang)</f>
        <v>0</v>
      </c>
      <c r="J22" s="108"/>
      <c r="K22" s="108"/>
      <c r="L22" s="0"/>
      <c r="M22" s="93" t="str">
        <f aca="false">VLOOKUP(2,AB20:AL23,2,0)</f>
        <v>Lengyelország</v>
      </c>
      <c r="N22" s="94" t="n">
        <f aca="false">O22+P22+Q22</f>
        <v>3</v>
      </c>
      <c r="O22" s="94" t="n">
        <f aca="false">VLOOKUP(2,AB20:AL23,3,0)</f>
        <v>2</v>
      </c>
      <c r="P22" s="94" t="n">
        <f aca="false">VLOOKUP(2,AB20:AL23,4,0)</f>
        <v>1</v>
      </c>
      <c r="Q22" s="94" t="n">
        <f aca="false">VLOOKUP(2,AB20:AL23,5,0)</f>
        <v>0</v>
      </c>
      <c r="R22" s="94" t="str">
        <f aca="false">VLOOKUP(2,AB20:AL23,6,0) &amp; " - " &amp; VLOOKUP(2,AB20:AL23,7,0)</f>
        <v>2 - 0</v>
      </c>
      <c r="S22" s="95" t="n">
        <f aca="false">O22*3+P22</f>
        <v>7</v>
      </c>
      <c r="U22" s="65" t="n">
        <f aca="false">DATE(2016,6,16)+TIME(2,0,0)+gmt_delta</f>
        <v>42537.625</v>
      </c>
      <c r="V22" s="66" t="str">
        <f aca="false">IF(OR(F25="",G25=""),"",IF(F25&gt;G25,E25&amp;"_win",IF(F25&lt;G25,E25&amp;"_lose",E25&amp;"_draw")))</f>
        <v>Anglia_win</v>
      </c>
      <c r="W22" s="66" t="str">
        <f aca="false">IF(V22="","",IF(F25&lt;G25,H25&amp;"_win",IF(F25&gt;G25,H25&amp;"_lose",H25&amp;"_draw")))</f>
        <v>Wales_lose</v>
      </c>
      <c r="X22" s="67" t="n">
        <f aca="false">IF(V22="",0,IF(VLOOKUP(E25,$AC$8:$AL$53,7,0)=VLOOKUP(H25,$AC$8:$AL$53,7,0),1,0))</f>
        <v>0</v>
      </c>
      <c r="Y22" s="65" t="n">
        <f aca="false">X22*F25</f>
        <v>0</v>
      </c>
      <c r="Z22" s="65" t="n">
        <f aca="false">X22*G25</f>
        <v>0</v>
      </c>
      <c r="AA22" s="0"/>
      <c r="AB22" s="65" t="n">
        <f aca="false">COUNTIF(AO20:AO23,CONCATENATE("&gt;=",AO22))</f>
        <v>2</v>
      </c>
      <c r="AC22" s="67" t="str">
        <f aca="false">INDEX(T,64,lang)</f>
        <v>Lengyelország</v>
      </c>
      <c r="AD22" s="65" t="n">
        <f aca="false">COUNTIF($V$7:$W$42,"=" &amp; AC22 &amp; "_win")</f>
        <v>2</v>
      </c>
      <c r="AE22" s="65" t="n">
        <f aca="false">COUNTIF($V$7:$W$42,"=" &amp; AC22 &amp; "_draw")</f>
        <v>1</v>
      </c>
      <c r="AF22" s="65" t="n">
        <f aca="false">COUNTIF($V$7:$W$42,"=" &amp; AC22 &amp; "_lose")</f>
        <v>0</v>
      </c>
      <c r="AG22" s="65" t="n">
        <f aca="false">SUMIF($E$10:$E$45,$AC22,$F$10:$F$45) + SUMIF($H$10:$H$45,$AC22,$G$10:$G$45)</f>
        <v>2</v>
      </c>
      <c r="AH22" s="65" t="n">
        <f aca="false">SUMIF($E$10:$E$45,$AC22,$G$10:$G$45) + SUMIF($H$10:$H$45,$AC22,$F$10:$F$45)</f>
        <v>0</v>
      </c>
      <c r="AI22" s="65" t="n">
        <f aca="false">AL22*10000</f>
        <v>70000</v>
      </c>
      <c r="AJ22" s="65" t="n">
        <f aca="false">AG22-AH22</f>
        <v>2</v>
      </c>
      <c r="AK22" s="65" t="n">
        <f aca="false">(AJ22-AJ25)/AJ24</f>
        <v>0.777777777777778</v>
      </c>
      <c r="AL22" s="65" t="n">
        <f aca="false">AD22*3+AE22</f>
        <v>7</v>
      </c>
      <c r="AM22" s="65" t="n">
        <f aca="false">AQ22/AQ24*10+AR22/AR24+AU22/AU24*0.1+AS22/AS24*0.01</f>
        <v>0.5</v>
      </c>
      <c r="AN22" s="65" t="n">
        <f aca="false">VLOOKUP(AC22,db_fifarank,2,0)/2000000</f>
        <v>0.014153</v>
      </c>
      <c r="AO22" s="67" t="n">
        <f aca="false">10000000*AL22/AL24+100000*AM22/AM24+100*AK22+10*AG22/AG24+1*AM22/AM24+AN22</f>
        <v>8783416.45859745</v>
      </c>
      <c r="AP22" s="68" t="str">
        <f aca="false">IF(SUM(AD20:AF23)&gt;0,M23,"3C")</f>
        <v>Észak-Írország</v>
      </c>
      <c r="AQ22" s="69" t="n">
        <f aca="false">SUMPRODUCT(($V$7:$V$42=AC22&amp;"_win")*($X$7:$X$42))+SUMPRODUCT(($W$7:$W$42=AC22&amp;"_win")*($X$7:$X$42))</f>
        <v>0</v>
      </c>
      <c r="AR22" s="69" t="n">
        <f aca="false">SUMPRODUCT(($V$7:$V$42=AC22&amp;"_draw")*($X$7:$X$42))+SUMPRODUCT(($W$7:$W$42=AC22&amp;"_draw")*($X$7:$X$42))</f>
        <v>1</v>
      </c>
      <c r="AS22" s="69" t="n">
        <f aca="false">SUMPRODUCT(($E$10:$E$45=AC22)*($X$7:$X$42)*($F$10:$F$45))+SUMPRODUCT(($H$10:$H$45=AC22)*($X$7:$X$42)*($G$10:$G$45))</f>
        <v>0</v>
      </c>
      <c r="AT22" s="69" t="n">
        <f aca="false">SUMPRODUCT(($E$10:$E$45=AC22)*($X$7:$X$42)*($G$10:$G$45))+SUMPRODUCT(($H$10:$H$45=AC22)*($X$7:$X$42)*($F$10:$F$45))</f>
        <v>0</v>
      </c>
      <c r="AU22" s="69" t="n">
        <f aca="false">AS22-AT22</f>
        <v>0</v>
      </c>
      <c r="AZ22" s="96" t="n">
        <v>42</v>
      </c>
      <c r="BA22" s="97" t="str">
        <f aca="false">AP38</f>
        <v>Magyarország</v>
      </c>
      <c r="BB22" s="98" t="n">
        <v>0</v>
      </c>
      <c r="BC22" s="99"/>
      <c r="BD22" s="122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117"/>
      <c r="BQ22" s="78"/>
      <c r="BR22" s="78" t="str">
        <f aca="false">INDEX(T,24+MONTH(U73),lang) &amp; " " &amp; DAY(U73) &amp; ", " &amp; YEAR(U73) &amp; "   " &amp; TEXT(TIME(HOUR(U73),MINUTE(U73),0),"hh:mm")</f>
        <v>Júl 10, 2016   01:00</v>
      </c>
      <c r="BS22" s="78"/>
      <c r="BT22" s="78"/>
      <c r="BU22" s="113"/>
    </row>
    <row r="23" customFormat="false" ht="12.8" hidden="false" customHeight="false" outlineLevel="0" collapsed="false">
      <c r="A23" s="100" t="n">
        <v>14</v>
      </c>
      <c r="B23" s="101" t="str">
        <f aca="false">INDEX(T,18+INT(MOD(U20-1,7)),lang)</f>
        <v>Sze</v>
      </c>
      <c r="C23" s="102" t="str">
        <f aca="false">INDEX(T,24+MONTH(U20),lang) &amp; " " &amp; DAY(U20) &amp; ", " &amp; YEAR(U20)</f>
        <v>Jún 15, 2016</v>
      </c>
      <c r="D23" s="103" t="n">
        <f aca="false">TIME(HOUR(U20),MINUTE(U20),0)</f>
        <v>0.75</v>
      </c>
      <c r="E23" s="104" t="str">
        <f aca="false">AC10</f>
        <v>Románia</v>
      </c>
      <c r="F23" s="105" t="n">
        <v>1</v>
      </c>
      <c r="G23" s="106" t="n">
        <v>1</v>
      </c>
      <c r="H23" s="107" t="str">
        <f aca="false">AC11</f>
        <v>Svájc</v>
      </c>
      <c r="I23" s="108" t="n">
        <f aca="false">INDEX(T,107,lang)</f>
        <v>0</v>
      </c>
      <c r="J23" s="108"/>
      <c r="K23" s="108"/>
      <c r="L23" s="0"/>
      <c r="M23" s="93" t="str">
        <f aca="false">VLOOKUP(3,AB20:AL23,2,0)</f>
        <v>Észak-Írország</v>
      </c>
      <c r="N23" s="94" t="n">
        <f aca="false">O23+P23+Q23</f>
        <v>3</v>
      </c>
      <c r="O23" s="94" t="n">
        <f aca="false">VLOOKUP(3,AB20:AL23,3,0)</f>
        <v>1</v>
      </c>
      <c r="P23" s="94" t="n">
        <f aca="false">VLOOKUP(3,AB20:AL23,4,0)</f>
        <v>0</v>
      </c>
      <c r="Q23" s="94" t="n">
        <f aca="false">VLOOKUP(3,AB20:AL23,5,0)</f>
        <v>2</v>
      </c>
      <c r="R23" s="94" t="str">
        <f aca="false">VLOOKUP(3,AB20:AL23,6,0) &amp; " - " &amp; VLOOKUP(3,AB20:AL23,7,0)</f>
        <v>2 - 2</v>
      </c>
      <c r="S23" s="95" t="n">
        <f aca="false">O23*3+P23</f>
        <v>3</v>
      </c>
      <c r="U23" s="65" t="n">
        <f aca="false">DATE(2016,6,16)+TIME(5,0,0)+gmt_delta</f>
        <v>42537.75</v>
      </c>
      <c r="V23" s="66" t="str">
        <f aca="false">IF(OR(F26="",G26=""),"",IF(F26&gt;G26,E26&amp;"_win",IF(F26&lt;G26,E26&amp;"_lose",E26&amp;"_draw")))</f>
        <v>Ukrajna_lose</v>
      </c>
      <c r="W23" s="66" t="str">
        <f aca="false">IF(V23="","",IF(F26&lt;G26,H26&amp;"_win",IF(F26&gt;G26,H26&amp;"_lose",H26&amp;"_draw")))</f>
        <v>Észak-Írország_win</v>
      </c>
      <c r="X23" s="67" t="n">
        <f aca="false">IF(V23="",0,IF(VLOOKUP(E26,$AC$8:$AL$53,7,0)=VLOOKUP(H26,$AC$8:$AL$53,7,0),1,0))</f>
        <v>0</v>
      </c>
      <c r="Y23" s="65" t="n">
        <f aca="false">X23*F26</f>
        <v>0</v>
      </c>
      <c r="Z23" s="65" t="n">
        <f aca="false">X23*G26</f>
        <v>0</v>
      </c>
      <c r="AA23" s="0"/>
      <c r="AB23" s="65" t="n">
        <f aca="false">COUNTIF(AO20:AO23,CONCATENATE("&gt;=",AO23))</f>
        <v>3</v>
      </c>
      <c r="AC23" s="67" t="str">
        <f aca="false">INDEX(T,56,lang)</f>
        <v>Észak-Írország</v>
      </c>
      <c r="AD23" s="65" t="n">
        <f aca="false">COUNTIF($V$7:$W$42,"=" &amp; AC23 &amp; "_win")</f>
        <v>1</v>
      </c>
      <c r="AE23" s="65" t="n">
        <f aca="false">COUNTIF($V$7:$W$42,"=" &amp; AC23 &amp; "_draw")</f>
        <v>0</v>
      </c>
      <c r="AF23" s="65" t="n">
        <f aca="false">COUNTIF($V$7:$W$42,"=" &amp; AC23 &amp; "_lose")</f>
        <v>2</v>
      </c>
      <c r="AG23" s="65" t="n">
        <f aca="false">SUMIF($E$10:$E$45,$AC23,$F$10:$F$45) + SUMIF($H$10:$H$45,$AC23,$G$10:$G$45)</f>
        <v>2</v>
      </c>
      <c r="AH23" s="65" t="n">
        <f aca="false">SUMIF($E$10:$E$45,$AC23,$G$10:$G$45) + SUMIF($H$10:$H$45,$AC23,$F$10:$F$45)</f>
        <v>2</v>
      </c>
      <c r="AI23" s="65" t="n">
        <f aca="false">AL23*10000</f>
        <v>30000</v>
      </c>
      <c r="AJ23" s="65" t="n">
        <f aca="false">AG23-AH23</f>
        <v>0</v>
      </c>
      <c r="AK23" s="65" t="n">
        <f aca="false">(AJ23-AJ25)/AJ24</f>
        <v>0.555555555555556</v>
      </c>
      <c r="AL23" s="65" t="n">
        <f aca="false">AD23*3+AE23</f>
        <v>3</v>
      </c>
      <c r="AM23" s="65" t="n">
        <f aca="false">AQ23/AQ24*10+AR23/AR24+AU23/AU24*0.1+AS23/AS24*0.01</f>
        <v>0</v>
      </c>
      <c r="AN23" s="65" t="n">
        <f aca="false">VLOOKUP(AC23,db_fifarank,2,0)/2000000</f>
        <v>0.0114805</v>
      </c>
      <c r="AO23" s="67" t="n">
        <f aca="false">10000000*AL23/AL24+100000*AM23/AM24+100*AK23+10*AG23/AG24+1*AM23/AM24+AN23</f>
        <v>3750060.56703606</v>
      </c>
      <c r="AP23" s="0"/>
      <c r="AQ23" s="69" t="n">
        <f aca="false">SUMPRODUCT(($V$7:$V$42=AC23&amp;"_win")*($X$7:$X$42))+SUMPRODUCT(($W$7:$W$42=AC23&amp;"_win")*($X$7:$X$42))</f>
        <v>0</v>
      </c>
      <c r="AR23" s="69" t="n">
        <f aca="false">SUMPRODUCT(($V$7:$V$42=AC23&amp;"_draw")*($X$7:$X$42))+SUMPRODUCT(($W$7:$W$42=AC23&amp;"_draw")*($X$7:$X$42))</f>
        <v>0</v>
      </c>
      <c r="AS23" s="69" t="n">
        <f aca="false">SUMPRODUCT(($E$10:$E$45=AC23)*($X$7:$X$42)*($F$10:$F$45))+SUMPRODUCT(($H$10:$H$45=AC23)*($X$7:$X$42)*($G$10:$G$45))</f>
        <v>0</v>
      </c>
      <c r="AT23" s="69" t="n">
        <f aca="false">SUMPRODUCT(($E$10:$E$45=AC23)*($X$7:$X$42)*($G$10:$G$45))+SUMPRODUCT(($H$10:$H$45=AC23)*($X$7:$X$42)*($F$10:$F$45))</f>
        <v>0</v>
      </c>
      <c r="AU23" s="69" t="n">
        <f aca="false">AS23-AT23</f>
        <v>0</v>
      </c>
      <c r="AZ23" s="96"/>
      <c r="BA23" s="109" t="str">
        <f aca="false">AP33</f>
        <v>Belgium</v>
      </c>
      <c r="BB23" s="110" t="n">
        <v>4</v>
      </c>
      <c r="BC23" s="111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117"/>
      <c r="BQ23" s="78"/>
      <c r="BR23" s="118" t="n">
        <v>51</v>
      </c>
      <c r="BS23" s="97" t="str">
        <f aca="false">W64</f>
        <v>GY49</v>
      </c>
      <c r="BT23" s="98"/>
      <c r="BU23" s="99"/>
    </row>
    <row r="24" customFormat="false" ht="12.75" hidden="false" customHeight="false" outlineLevel="0" collapsed="false">
      <c r="A24" s="100" t="n">
        <v>15</v>
      </c>
      <c r="B24" s="101" t="str">
        <f aca="false">INDEX(T,18+INT(MOD(U21-1,7)),lang)</f>
        <v>Sze</v>
      </c>
      <c r="C24" s="102" t="str">
        <f aca="false">INDEX(T,24+MONTH(U21),lang) &amp; " " &amp; DAY(U21) &amp; ", " &amp; YEAR(U21)</f>
        <v>Jún 15, 2016</v>
      </c>
      <c r="D24" s="103" t="n">
        <f aca="false">TIME(HOUR(U21),MINUTE(U21),0)</f>
        <v>0.875</v>
      </c>
      <c r="E24" s="104" t="str">
        <f aca="false">AC8</f>
        <v>Franciaország</v>
      </c>
      <c r="F24" s="105" t="n">
        <v>2</v>
      </c>
      <c r="G24" s="106" t="n">
        <v>0</v>
      </c>
      <c r="H24" s="107" t="str">
        <f aca="false">AC9</f>
        <v>Albánia</v>
      </c>
      <c r="I24" s="108" t="n">
        <f aca="false">INDEX(T,106,lang)</f>
        <v>0</v>
      </c>
      <c r="J24" s="108"/>
      <c r="K24" s="108"/>
      <c r="L24" s="0"/>
      <c r="M24" s="114" t="str">
        <f aca="false">VLOOKUP(4,AB20:AL23,2,0)</f>
        <v>Ukrajna</v>
      </c>
      <c r="N24" s="115" t="n">
        <f aca="false">O24+P24+Q24</f>
        <v>3</v>
      </c>
      <c r="O24" s="115" t="n">
        <f aca="false">VLOOKUP(4,AB20:AL23,3,0)</f>
        <v>0</v>
      </c>
      <c r="P24" s="115" t="n">
        <f aca="false">VLOOKUP(4,AB20:AL23,4,0)</f>
        <v>0</v>
      </c>
      <c r="Q24" s="115" t="n">
        <f aca="false">VLOOKUP(4,AB20:AL23,5,0)</f>
        <v>3</v>
      </c>
      <c r="R24" s="115" t="str">
        <f aca="false">VLOOKUP(4,AB20:AL23,6,0) &amp; " - " &amp; VLOOKUP(4,AB20:AL23,7,0)</f>
        <v>0 - 5</v>
      </c>
      <c r="S24" s="116" t="n">
        <f aca="false">O24*3+P24</f>
        <v>0</v>
      </c>
      <c r="U24" s="65" t="n">
        <f aca="false">DATE(2016,6,16)+TIME(8,0,0)+gmt_delta</f>
        <v>42537.875</v>
      </c>
      <c r="V24" s="66" t="str">
        <f aca="false">IF(OR(F27="",G27=""),"",IF(F27&gt;G27,E27&amp;"_win",IF(F27&lt;G27,E27&amp;"_lose",E27&amp;"_draw")))</f>
        <v>Németország_draw</v>
      </c>
      <c r="W24" s="66" t="str">
        <f aca="false">IF(V24="","",IF(F27&lt;G27,H27&amp;"_win",IF(F27&gt;G27,H27&amp;"_lose",H27&amp;"_draw")))</f>
        <v>Lengyelország_draw</v>
      </c>
      <c r="X24" s="67" t="n">
        <f aca="false">IF(V24="",0,IF(VLOOKUP(E27,$AC$8:$AL$53,7,0)=VLOOKUP(H27,$AC$8:$AL$53,7,0),1,0))</f>
        <v>1</v>
      </c>
      <c r="Y24" s="65" t="n">
        <f aca="false">X24*F27</f>
        <v>0</v>
      </c>
      <c r="Z24" s="65" t="n">
        <f aca="false">X24*G27</f>
        <v>0</v>
      </c>
      <c r="AA24" s="0"/>
      <c r="AB24" s="0"/>
      <c r="AC24" s="0"/>
      <c r="AD24" s="65" t="n">
        <f aca="false">MAX(AD20:AD23)-MIN(AD20:AD23)+1</f>
        <v>3</v>
      </c>
      <c r="AE24" s="65" t="n">
        <f aca="false">MAX(AE20:AE23)-MIN(AE20:AE23)+1</f>
        <v>2</v>
      </c>
      <c r="AF24" s="65" t="n">
        <f aca="false">MAX(AF20:AF23)-MIN(AF20:AF23)+1</f>
        <v>4</v>
      </c>
      <c r="AG24" s="65" t="n">
        <f aca="false">MAX(AG20:AG23)-MIN(AG20:AG23)+1</f>
        <v>4</v>
      </c>
      <c r="AH24" s="65" t="n">
        <f aca="false">MAX(AH20:AH23)-MIN(AH20:AH23)+1</f>
        <v>6</v>
      </c>
      <c r="AI24" s="65" t="n">
        <f aca="false">MAX(AI20:AI23)-AI25+1</f>
        <v>70001</v>
      </c>
      <c r="AJ24" s="65" t="n">
        <f aca="false">MAX(AJ20:AJ23)-AJ25+1</f>
        <v>9</v>
      </c>
      <c r="AK24" s="0"/>
      <c r="AL24" s="65" t="n">
        <f aca="false">MAX(AL20:AL23)-MIN(AL20:AL23)+1</f>
        <v>8</v>
      </c>
      <c r="AM24" s="65" t="n">
        <f aca="false">MAX(AM20:AM23)-MIN(AM20:AM23)+1</f>
        <v>1.5</v>
      </c>
      <c r="AN24" s="0"/>
      <c r="AO24" s="0"/>
      <c r="AP24" s="0"/>
      <c r="AQ24" s="65" t="n">
        <f aca="false">MAX(AQ20:AQ23)-MIN(AQ20:AQ23)+1</f>
        <v>1</v>
      </c>
      <c r="AR24" s="65" t="n">
        <f aca="false">MAX(AR20:AR23)-MIN(AR20:AR23)+1</f>
        <v>2</v>
      </c>
      <c r="AS24" s="65" t="n">
        <f aca="false">MAX(AS20:AS23)-MIN(AS20:AS23)+1</f>
        <v>1</v>
      </c>
      <c r="AT24" s="65" t="n">
        <f aca="false">MAX(AT20:AT23)-MIN(AT20:AT23)+1</f>
        <v>1</v>
      </c>
      <c r="AU24" s="65" t="n">
        <f aca="false">MAX(AU20:AU23)-MIN(AU20:AU23)+1</f>
        <v>1</v>
      </c>
      <c r="AZ24" s="0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117"/>
      <c r="BQ24" s="121"/>
      <c r="BR24" s="118"/>
      <c r="BS24" s="109" t="str">
        <f aca="false">W65</f>
        <v>GY50</v>
      </c>
      <c r="BT24" s="110"/>
      <c r="BU24" s="111"/>
    </row>
    <row r="25" customFormat="false" ht="12.75" hidden="false" customHeight="false" outlineLevel="0" collapsed="false">
      <c r="A25" s="100" t="n">
        <v>16</v>
      </c>
      <c r="B25" s="101" t="str">
        <f aca="false">INDEX(T,18+INT(MOD(U22-1,7)),lang)</f>
        <v>Csü</v>
      </c>
      <c r="C25" s="102" t="str">
        <f aca="false">INDEX(T,24+MONTH(U22),lang) &amp; " " &amp; DAY(U22) &amp; ", " &amp; YEAR(U22)</f>
        <v>Jún 16, 2016</v>
      </c>
      <c r="D25" s="103" t="n">
        <f aca="false">TIME(HOUR(U22),MINUTE(U22),0)</f>
        <v>0.625</v>
      </c>
      <c r="E25" s="104" t="str">
        <f aca="false">AC14</f>
        <v>Anglia</v>
      </c>
      <c r="F25" s="105" t="n">
        <v>2</v>
      </c>
      <c r="G25" s="106" t="n">
        <v>1</v>
      </c>
      <c r="H25" s="107" t="str">
        <f aca="false">AC15</f>
        <v>Wales</v>
      </c>
      <c r="I25" s="108" t="n">
        <f aca="false">INDEX(T,109,lang)</f>
        <v>0</v>
      </c>
      <c r="J25" s="108"/>
      <c r="K25" s="108"/>
      <c r="L25" s="0"/>
      <c r="M25" s="119"/>
      <c r="N25" s="120"/>
      <c r="O25" s="120"/>
      <c r="P25" s="120"/>
      <c r="Q25" s="120"/>
      <c r="R25" s="120"/>
      <c r="S25" s="120"/>
      <c r="U25" s="65" t="n">
        <f aca="false">DATE(2016,6,17)+TIME(2,0,0)+gmt_delta</f>
        <v>42538.625</v>
      </c>
      <c r="V25" s="66" t="str">
        <f aca="false">IF(OR(F28="",G28=""),"",IF(F28&gt;G28,E28&amp;"_win",IF(F28&lt;G28,E28&amp;"_lose",E28&amp;"_draw")))</f>
        <v>Olaszország_win</v>
      </c>
      <c r="W25" s="66" t="str">
        <f aca="false">IF(V25="","",IF(F28&lt;G28,H28&amp;"_win",IF(F28&gt;G28,H28&amp;"_lose",H28&amp;"_draw")))</f>
        <v>Svédország_lose</v>
      </c>
      <c r="X25" s="67" t="n">
        <f aca="false">IF(V25="",0,IF(VLOOKUP(E28,$AC$8:$AL$53,7,0)=VLOOKUP(H28,$AC$8:$AL$53,7,0),1,0))</f>
        <v>0</v>
      </c>
      <c r="Y25" s="65" t="n">
        <f aca="false">X25*F28</f>
        <v>0</v>
      </c>
      <c r="Z25" s="65" t="n">
        <f aca="false">X25*G28</f>
        <v>0</v>
      </c>
      <c r="AA25" s="0"/>
      <c r="AB25" s="0"/>
      <c r="AC25" s="0"/>
      <c r="AD25" s="0"/>
      <c r="AE25" s="0"/>
      <c r="AF25" s="0"/>
      <c r="AG25" s="0"/>
      <c r="AH25" s="0"/>
      <c r="AI25" s="65" t="n">
        <f aca="false">MIN(AI20:AI23)</f>
        <v>0</v>
      </c>
      <c r="AJ25" s="65" t="n">
        <f aca="false">MIN(AJ20:AJ23)</f>
        <v>-5</v>
      </c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Z25" s="82" t="str">
        <f aca="false">INDEX(T,24+MONTH(U50),lang) &amp; " " &amp; DAY(U50) &amp; ", " &amp; YEAR(U50) &amp; "   " &amp; TEXT(TIME(HOUR(U50),MINUTE(U50),0),"hh:mm")</f>
        <v>Jún 26, 2016   01:00</v>
      </c>
      <c r="BA25" s="78"/>
      <c r="BB25" s="78"/>
      <c r="BC25" s="125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117"/>
      <c r="BQ25" s="78"/>
      <c r="BR25" s="78"/>
      <c r="BS25" s="78"/>
      <c r="BT25" s="78"/>
      <c r="BU25" s="78"/>
    </row>
    <row r="26" customFormat="false" ht="12.8" hidden="false" customHeight="false" outlineLevel="0" collapsed="false">
      <c r="A26" s="100" t="n">
        <v>17</v>
      </c>
      <c r="B26" s="101" t="str">
        <f aca="false">INDEX(T,18+INT(MOD(U23-1,7)),lang)</f>
        <v>Csü</v>
      </c>
      <c r="C26" s="102" t="str">
        <f aca="false">INDEX(T,24+MONTH(U23),lang) &amp; " " &amp; DAY(U23) &amp; ", " &amp; YEAR(U23)</f>
        <v>Jún 16, 2016</v>
      </c>
      <c r="D26" s="103" t="n">
        <f aca="false">TIME(HOUR(U23),MINUTE(U23),0)</f>
        <v>0.75</v>
      </c>
      <c r="E26" s="104" t="str">
        <f aca="false">AC21</f>
        <v>Ukrajna</v>
      </c>
      <c r="F26" s="105" t="n">
        <v>0</v>
      </c>
      <c r="G26" s="106" t="n">
        <v>2</v>
      </c>
      <c r="H26" s="107" t="str">
        <f aca="false">AC23</f>
        <v>Észak-Írország</v>
      </c>
      <c r="I26" s="108" t="n">
        <f aca="false">INDEX(T,110,lang)</f>
        <v>0</v>
      </c>
      <c r="J26" s="108"/>
      <c r="K26" s="108"/>
      <c r="L26" s="0"/>
      <c r="M26" s="76" t="str">
        <f aca="false">INDEX(T,9,lang) &amp; " " &amp; "D"</f>
        <v>Csoport D</v>
      </c>
      <c r="N26" s="77" t="str">
        <f aca="false">INDEX(T,10,lang)</f>
        <v>M</v>
      </c>
      <c r="O26" s="77" t="str">
        <f aca="false">INDEX(T,11,lang)</f>
        <v>GY</v>
      </c>
      <c r="P26" s="77" t="str">
        <f aca="false">INDEX(T,12,lang)</f>
        <v>D</v>
      </c>
      <c r="Q26" s="77" t="str">
        <f aca="false">INDEX(T,13,lang)</f>
        <v>V</v>
      </c>
      <c r="R26" s="77" t="str">
        <f aca="false">INDEX(T,14,lang)</f>
        <v>Gólkül.</v>
      </c>
      <c r="S26" s="77" t="str">
        <f aca="false">INDEX(T,15,lang)</f>
        <v>PNT</v>
      </c>
      <c r="U26" s="65" t="n">
        <f aca="false">DATE(2016,6,17)+TIME(5,0,0)+gmt_delta</f>
        <v>42538.75</v>
      </c>
      <c r="V26" s="66" t="str">
        <f aca="false">IF(OR(F29="",G29=""),"",IF(F29&gt;G29,E29&amp;"_win",IF(F29&lt;G29,E29&amp;"_lose",E29&amp;"_draw")))</f>
        <v>Cseh Köztársaság_draw</v>
      </c>
      <c r="W26" s="66" t="str">
        <f aca="false">IF(V26="","",IF(F29&lt;G29,H29&amp;"_win",IF(F29&gt;G29,H29&amp;"_lose",H29&amp;"_draw")))</f>
        <v>Horvátország_draw</v>
      </c>
      <c r="X26" s="67" t="n">
        <f aca="false">IF(V26="",0,IF(VLOOKUP(E29,$AC$8:$AL$53,7,0)=VLOOKUP(H29,$AC$8:$AL$53,7,0),1,0))</f>
        <v>0</v>
      </c>
      <c r="Y26" s="65" t="n">
        <f aca="false">X26*F29</f>
        <v>0</v>
      </c>
      <c r="Z26" s="65" t="n">
        <f aca="false">X26*G29</f>
        <v>0</v>
      </c>
      <c r="AA26" s="0"/>
      <c r="AB26" s="65" t="n">
        <f aca="false">COUNTIF(AO26:AO29,CONCATENATE("&gt;=",AO26))</f>
        <v>2</v>
      </c>
      <c r="AC26" s="67" t="str">
        <f aca="false">INDEX(T,40,lang)</f>
        <v>Spanyolország</v>
      </c>
      <c r="AD26" s="65" t="n">
        <f aca="false">COUNTIF($V$7:$W$42,"=" &amp; AC26 &amp; "_win")</f>
        <v>2</v>
      </c>
      <c r="AE26" s="65" t="n">
        <f aca="false">COUNTIF($V$7:$W$42,"=" &amp; AC26 &amp; "_draw")</f>
        <v>0</v>
      </c>
      <c r="AF26" s="65" t="n">
        <f aca="false">COUNTIF($V$7:$W$42,"=" &amp; AC26 &amp; "_lose")</f>
        <v>1</v>
      </c>
      <c r="AG26" s="65" t="n">
        <f aca="false">SUMIF($E$10:$E$45,$AC26,$F$10:$F$45) + SUMIF($H$10:$H$45,$AC26,$G$10:$G$45)</f>
        <v>5</v>
      </c>
      <c r="AH26" s="65" t="n">
        <f aca="false">SUMIF($E$10:$E$45,$AC26,$G$10:$G$45) + SUMIF($H$10:$H$45,$AC26,$F$10:$F$45)</f>
        <v>2</v>
      </c>
      <c r="AI26" s="65" t="n">
        <f aca="false">AL26*10000</f>
        <v>60000</v>
      </c>
      <c r="AJ26" s="65" t="n">
        <f aca="false">AG26-AH26</f>
        <v>3</v>
      </c>
      <c r="AK26" s="65" t="n">
        <f aca="false">(AJ26-AJ31)/AJ30</f>
        <v>0.857142857142857</v>
      </c>
      <c r="AL26" s="65" t="n">
        <f aca="false">AD26*3+AE26</f>
        <v>6</v>
      </c>
      <c r="AM26" s="65" t="n">
        <f aca="false">AQ26/AQ30*10+AR26/AR30+AU26/AU30*0.1+AS26/AS30*0.01</f>
        <v>0</v>
      </c>
      <c r="AN26" s="65" t="n">
        <f aca="false">VLOOKUP(AC26,db_fifarank,2,0)/2000000</f>
        <v>0.018981</v>
      </c>
      <c r="AO26" s="67" t="n">
        <f aca="false">10000000*AL26/AL30+100000*AM26/AM30+100*AK26+10*AG26/AG30+1*AM26/AM30+AN26</f>
        <v>8571526.80469529</v>
      </c>
      <c r="AP26" s="68" t="str">
        <f aca="false">IF(SUM(AD26:AF29)=12,M27,INDEX(T,76,lang))</f>
        <v>Horvátország</v>
      </c>
      <c r="AQ26" s="69" t="n">
        <f aca="false">SUMPRODUCT(($V$7:$V$42=AC26&amp;"_win")*($X$7:$X$42))+SUMPRODUCT(($W$7:$W$42=AC26&amp;"_win")*($X$7:$X$42))</f>
        <v>0</v>
      </c>
      <c r="AR26" s="69" t="n">
        <f aca="false">SUMPRODUCT(($V$7:$V$42=AC26&amp;"_draw")*($X$7:$X$42))+SUMPRODUCT(($W$7:$W$42=AC26&amp;"_draw")*($X$7:$X$42))</f>
        <v>0</v>
      </c>
      <c r="AS26" s="69" t="n">
        <f aca="false">SUMPRODUCT(($E$10:$E$45=AC26)*($X$7:$X$42)*($F$10:$F$45))+SUMPRODUCT(($H$10:$H$45=AC26)*($X$7:$X$42)*($G$10:$G$45))</f>
        <v>0</v>
      </c>
      <c r="AT26" s="69" t="n">
        <f aca="false">SUMPRODUCT(($E$10:$E$45=AC26)*($X$7:$X$42)*($G$10:$G$45))+SUMPRODUCT(($H$10:$H$45=AC26)*($X$7:$X$42)*($F$10:$F$45))</f>
        <v>0</v>
      </c>
      <c r="AU26" s="69" t="n">
        <f aca="false">AS26-AT26</f>
        <v>0</v>
      </c>
      <c r="AZ26" s="96" t="n">
        <v>41</v>
      </c>
      <c r="BA26" s="97" t="str">
        <f aca="false">AP20</f>
        <v>Németország</v>
      </c>
      <c r="BB26" s="98" t="n">
        <v>3</v>
      </c>
      <c r="BC26" s="99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117"/>
      <c r="BQ26" s="78"/>
      <c r="BR26" s="78"/>
      <c r="BS26" s="78"/>
      <c r="BT26" s="78"/>
      <c r="BU26" s="78"/>
    </row>
    <row r="27" customFormat="false" ht="12.8" hidden="false" customHeight="false" outlineLevel="0" collapsed="false">
      <c r="A27" s="100" t="n">
        <v>18</v>
      </c>
      <c r="B27" s="101" t="str">
        <f aca="false">INDEX(T,18+INT(MOD(U24-1,7)),lang)</f>
        <v>Csü</v>
      </c>
      <c r="C27" s="102" t="str">
        <f aca="false">INDEX(T,24+MONTH(U24),lang) &amp; " " &amp; DAY(U24) &amp; ", " &amp; YEAR(U24)</f>
        <v>Jún 16, 2016</v>
      </c>
      <c r="D27" s="103" t="n">
        <f aca="false">TIME(HOUR(U24),MINUTE(U24),0)</f>
        <v>0.875</v>
      </c>
      <c r="E27" s="104" t="str">
        <f aca="false">AC20</f>
        <v>Németország</v>
      </c>
      <c r="F27" s="105" t="n">
        <v>0</v>
      </c>
      <c r="G27" s="106" t="n">
        <v>0</v>
      </c>
      <c r="H27" s="107" t="str">
        <f aca="false">AC22</f>
        <v>Lengyelország</v>
      </c>
      <c r="I27" s="108" t="n">
        <f aca="false">INDEX(T,114,lang)</f>
        <v>0</v>
      </c>
      <c r="J27" s="108"/>
      <c r="K27" s="108"/>
      <c r="L27" s="0"/>
      <c r="M27" s="79" t="str">
        <f aca="false">VLOOKUP(1,AB26:AL29,2,0)</f>
        <v>Horvátország</v>
      </c>
      <c r="N27" s="80" t="n">
        <f aca="false">O27+P27+Q27</f>
        <v>3</v>
      </c>
      <c r="O27" s="80" t="n">
        <f aca="false">VLOOKUP(1,AB26:AL29,3,0)</f>
        <v>2</v>
      </c>
      <c r="P27" s="80" t="n">
        <f aca="false">VLOOKUP(1,AB26:AL29,4,0)</f>
        <v>1</v>
      </c>
      <c r="Q27" s="80" t="n">
        <f aca="false">VLOOKUP(1,AB26:AL29,5,0)</f>
        <v>0</v>
      </c>
      <c r="R27" s="80" t="str">
        <f aca="false">VLOOKUP(1,AB26:AL29,6,0) &amp; " - " &amp; VLOOKUP(1,AB26:AL29,7,0)</f>
        <v>5 - 3</v>
      </c>
      <c r="S27" s="81" t="n">
        <f aca="false">O27*3+P27</f>
        <v>7</v>
      </c>
      <c r="U27" s="65" t="n">
        <f aca="false">DATE(2016,6,17)+TIME(8,0,0)+gmt_delta</f>
        <v>42538.875</v>
      </c>
      <c r="V27" s="66" t="str">
        <f aca="false">IF(OR(F30="",G30=""),"",IF(F30&gt;G30,E30&amp;"_win",IF(F30&lt;G30,E30&amp;"_lose",E30&amp;"_draw")))</f>
        <v>Spanyolország_win</v>
      </c>
      <c r="W27" s="66" t="str">
        <f aca="false">IF(V27="","",IF(F30&lt;G30,H30&amp;"_win",IF(F30&gt;G30,H30&amp;"_lose",H30&amp;"_draw")))</f>
        <v>Törökország_lose</v>
      </c>
      <c r="X27" s="67" t="n">
        <f aca="false">IF(V27="",0,IF(VLOOKUP(E30,$AC$8:$AL$53,7,0)=VLOOKUP(H30,$AC$8:$AL$53,7,0),1,0))</f>
        <v>0</v>
      </c>
      <c r="Y27" s="65" t="n">
        <f aca="false">X27*F30</f>
        <v>0</v>
      </c>
      <c r="Z27" s="65" t="n">
        <f aca="false">X27*G30</f>
        <v>0</v>
      </c>
      <c r="AA27" s="0"/>
      <c r="AB27" s="65" t="n">
        <f aca="false">COUNTIF(AO26:AO29,CONCATENATE("&gt;=",AO27))</f>
        <v>1</v>
      </c>
      <c r="AC27" s="67" t="str">
        <f aca="false">INDEX(T,55,lang)</f>
        <v>Horvátország</v>
      </c>
      <c r="AD27" s="65" t="n">
        <f aca="false">COUNTIF($V$7:$W$42,"=" &amp; AC27 &amp; "_win")</f>
        <v>2</v>
      </c>
      <c r="AE27" s="65" t="n">
        <f aca="false">COUNTIF($V$7:$W$42,"=" &amp; AC27 &amp; "_draw")</f>
        <v>1</v>
      </c>
      <c r="AF27" s="65" t="n">
        <f aca="false">COUNTIF($V$7:$W$42,"=" &amp; AC27 &amp; "_lose")</f>
        <v>0</v>
      </c>
      <c r="AG27" s="65" t="n">
        <f aca="false">SUMIF($E$10:$E$45,$AC27,$F$10:$F$45) + SUMIF($H$10:$H$45,$AC27,$G$10:$G$45)</f>
        <v>5</v>
      </c>
      <c r="AH27" s="65" t="n">
        <f aca="false">SUMIF($E$10:$E$45,$AC27,$G$10:$G$45) + SUMIF($H$10:$H$45,$AC27,$F$10:$F$45)</f>
        <v>3</v>
      </c>
      <c r="AI27" s="65" t="n">
        <f aca="false">AL27*10000</f>
        <v>70000</v>
      </c>
      <c r="AJ27" s="65" t="n">
        <f aca="false">AG27-AH27</f>
        <v>2</v>
      </c>
      <c r="AK27" s="65" t="n">
        <f aca="false">(AJ27-AJ31)/AJ30</f>
        <v>0.714285714285714</v>
      </c>
      <c r="AL27" s="65" t="n">
        <f aca="false">AD27*3+AE27</f>
        <v>7</v>
      </c>
      <c r="AM27" s="65" t="n">
        <f aca="false">AQ27/AQ30*10+AR27/AR30+AU27/AU30*0.1+AS27/AS30*0.01</f>
        <v>0</v>
      </c>
      <c r="AN27" s="65" t="n">
        <f aca="false">VLOOKUP(AC27,db_fifarank,2,0)/2000000</f>
        <v>0.015321</v>
      </c>
      <c r="AO27" s="67" t="n">
        <f aca="false">10000000*AL27/AL30+100000*AM27/AM30+100*AK27+10*AG27/AG30+1*AM27/AM30+AN27</f>
        <v>10000083.9438924</v>
      </c>
      <c r="AP27" s="68" t="str">
        <f aca="false">IF(SUM(AD26:AF29)=12,M28,INDEX(T,77,lang))</f>
        <v>Spanyolország</v>
      </c>
      <c r="AQ27" s="69" t="n">
        <f aca="false">SUMPRODUCT(($V$7:$V$42=AC27&amp;"_win")*($X$7:$X$42))+SUMPRODUCT(($W$7:$W$42=AC27&amp;"_win")*($X$7:$X$42))</f>
        <v>0</v>
      </c>
      <c r="AR27" s="69" t="n">
        <f aca="false">SUMPRODUCT(($V$7:$V$42=AC27&amp;"_draw")*($X$7:$X$42))+SUMPRODUCT(($W$7:$W$42=AC27&amp;"_draw")*($X$7:$X$42))</f>
        <v>0</v>
      </c>
      <c r="AS27" s="69" t="n">
        <f aca="false">SUMPRODUCT(($E$10:$E$45=AC27)*($X$7:$X$42)*($F$10:$F$45))+SUMPRODUCT(($H$10:$H$45=AC27)*($X$7:$X$42)*($G$10:$G$45))</f>
        <v>0</v>
      </c>
      <c r="AT27" s="69" t="n">
        <f aca="false">SUMPRODUCT(($E$10:$E$45=AC27)*($X$7:$X$42)*($G$10:$G$45))+SUMPRODUCT(($H$10:$H$45=AC27)*($X$7:$X$42)*($F$10:$F$45))</f>
        <v>0</v>
      </c>
      <c r="AU27" s="69" t="n">
        <f aca="false">AS27-AT27</f>
        <v>0</v>
      </c>
      <c r="AZ27" s="96"/>
      <c r="BA27" s="109" t="str">
        <f aca="false">VLOOKUP(lookup_3rd, tbl_lookup_3rd,4,0)</f>
        <v>Szlovákia</v>
      </c>
      <c r="BB27" s="110" t="n">
        <v>0</v>
      </c>
      <c r="BC27" s="111"/>
      <c r="BD27" s="112"/>
      <c r="BE27" s="78"/>
      <c r="BF27" s="78" t="str">
        <f aca="false">INDEX(T,24+MONTH(U59),lang) &amp; " " &amp; DAY(U59) &amp; ", " &amp; YEAR(U59) &amp; "   " &amp; TEXT(TIME(HOUR(U59),MINUTE(U59),0),"hh:mm")</f>
        <v>Júl 2, 2016   01:00</v>
      </c>
      <c r="BG27" s="78"/>
      <c r="BH27" s="78"/>
      <c r="BI27" s="113"/>
      <c r="BJ27" s="78"/>
      <c r="BK27" s="78"/>
      <c r="BL27" s="78"/>
      <c r="BM27" s="78"/>
      <c r="BN27" s="78"/>
      <c r="BO27" s="78"/>
      <c r="BP27" s="117"/>
      <c r="BQ27" s="78"/>
      <c r="BR27" s="78"/>
      <c r="BS27" s="78"/>
      <c r="BT27" s="78"/>
      <c r="BU27" s="78"/>
    </row>
    <row r="28" customFormat="false" ht="12.75" hidden="false" customHeight="false" outlineLevel="0" collapsed="false">
      <c r="A28" s="100" t="n">
        <v>19</v>
      </c>
      <c r="B28" s="101" t="str">
        <f aca="false">INDEX(T,18+INT(MOD(U25-1,7)),lang)</f>
        <v>Pé</v>
      </c>
      <c r="C28" s="102" t="str">
        <f aca="false">INDEX(T,24+MONTH(U25),lang) &amp; " " &amp; DAY(U25) &amp; ", " &amp; YEAR(U25)</f>
        <v>Jún 17, 2016</v>
      </c>
      <c r="D28" s="103" t="n">
        <f aca="false">TIME(HOUR(U25),MINUTE(U25),0)</f>
        <v>0.625</v>
      </c>
      <c r="E28" s="104" t="str">
        <f aca="false">AC34</f>
        <v>Olaszország</v>
      </c>
      <c r="F28" s="105" t="n">
        <v>1</v>
      </c>
      <c r="G28" s="106" t="n">
        <v>0</v>
      </c>
      <c r="H28" s="107" t="str">
        <f aca="false">AC35</f>
        <v>Svédország</v>
      </c>
      <c r="I28" s="108" t="n">
        <f aca="false">INDEX(T,108,lang)</f>
        <v>0</v>
      </c>
      <c r="J28" s="108"/>
      <c r="K28" s="108"/>
      <c r="L28" s="0"/>
      <c r="M28" s="93" t="str">
        <f aca="false">VLOOKUP(2,AB26:AL29,2,0)</f>
        <v>Spanyolország</v>
      </c>
      <c r="N28" s="94" t="n">
        <f aca="false">O28+P28+Q28</f>
        <v>3</v>
      </c>
      <c r="O28" s="94" t="n">
        <f aca="false">VLOOKUP(2,AB26:AL29,3,0)</f>
        <v>2</v>
      </c>
      <c r="P28" s="94" t="n">
        <f aca="false">VLOOKUP(2,AB26:AL29,4,0)</f>
        <v>0</v>
      </c>
      <c r="Q28" s="94" t="n">
        <f aca="false">VLOOKUP(2,AB26:AL29,5,0)</f>
        <v>1</v>
      </c>
      <c r="R28" s="94" t="str">
        <f aca="false">VLOOKUP(2,AB26:AL29,6,0) &amp; " - " &amp; VLOOKUP(2,AB26:AL29,7,0)</f>
        <v>5 - 2</v>
      </c>
      <c r="S28" s="95" t="n">
        <f aca="false">O28*3+P28</f>
        <v>6</v>
      </c>
      <c r="U28" s="65" t="n">
        <f aca="false">DATE(2016,6,18)+TIME(2,0,0)+gmt_delta</f>
        <v>42539.625</v>
      </c>
      <c r="V28" s="66" t="str">
        <f aca="false">IF(OR(F31="",G31=""),"",IF(F31&gt;G31,E31&amp;"_win",IF(F31&lt;G31,E31&amp;"_lose",E31&amp;"_draw")))</f>
        <v>Belgium_win</v>
      </c>
      <c r="W28" s="66" t="str">
        <f aca="false">IF(V28="","",IF(F31&lt;G31,H31&amp;"_win",IF(F31&gt;G31,H31&amp;"_lose",H31&amp;"_draw")))</f>
        <v>Ír Köztársaság_lose</v>
      </c>
      <c r="X28" s="67" t="n">
        <f aca="false">IF(V28="",0,IF(VLOOKUP(E31,$AC$8:$AL$53,7,0)=VLOOKUP(H31,$AC$8:$AL$53,7,0),1,0))</f>
        <v>0</v>
      </c>
      <c r="Y28" s="65" t="n">
        <f aca="false">X28*F31</f>
        <v>0</v>
      </c>
      <c r="Z28" s="65" t="n">
        <f aca="false">X28*G31</f>
        <v>0</v>
      </c>
      <c r="AA28" s="0"/>
      <c r="AB28" s="65" t="n">
        <f aca="false">COUNTIF(AO26:AO29,CONCATENATE("&gt;=",AO28))</f>
        <v>3</v>
      </c>
      <c r="AC28" s="67" t="str">
        <f aca="false">INDEX(T,46,lang)</f>
        <v>Törökország</v>
      </c>
      <c r="AD28" s="65" t="n">
        <f aca="false">COUNTIF($V$7:$W$42,"=" &amp; AC28 &amp; "_win")</f>
        <v>1</v>
      </c>
      <c r="AE28" s="65" t="n">
        <f aca="false">COUNTIF($V$7:$W$42,"=" &amp; AC28 &amp; "_draw")</f>
        <v>0</v>
      </c>
      <c r="AF28" s="65" t="n">
        <f aca="false">COUNTIF($V$7:$W$42,"=" &amp; AC28 &amp; "_lose")</f>
        <v>2</v>
      </c>
      <c r="AG28" s="65" t="n">
        <f aca="false">SUMIF($E$10:$E$45,$AC28,$F$10:$F$45) + SUMIF($H$10:$H$45,$AC28,$G$10:$G$45)</f>
        <v>2</v>
      </c>
      <c r="AH28" s="65" t="n">
        <f aca="false">SUMIF($E$10:$E$45,$AC28,$G$10:$G$45) + SUMIF($H$10:$H$45,$AC28,$F$10:$F$45)</f>
        <v>4</v>
      </c>
      <c r="AI28" s="65" t="n">
        <f aca="false">AL28*10000</f>
        <v>30000</v>
      </c>
      <c r="AJ28" s="65" t="n">
        <f aca="false">AG28-AH28</f>
        <v>-2</v>
      </c>
      <c r="AK28" s="65" t="n">
        <f aca="false">(AJ28-AJ31)/AJ30</f>
        <v>0.142857142857143</v>
      </c>
      <c r="AL28" s="65" t="n">
        <f aca="false">AD28*3+AE28</f>
        <v>3</v>
      </c>
      <c r="AM28" s="65" t="n">
        <f aca="false">AQ28/AQ30*10+AR28/AR30+AU28/AU30*0.1+AS28/AS30*0.01</f>
        <v>0</v>
      </c>
      <c r="AN28" s="65" t="n">
        <f aca="false">VLOOKUP(AC28,db_fifarank,2,0)/2000000</f>
        <v>0.0135165</v>
      </c>
      <c r="AO28" s="67" t="n">
        <f aca="false">10000000*AL28/AL30+100000*AM28/AM30+100*AK28+10*AG28/AG30+1*AM28/AM30+AN28</f>
        <v>4285733.58494507</v>
      </c>
      <c r="AP28" s="68" t="str">
        <f aca="false">IF(SUM(AD26:AF29)&gt;0,M29,"3D")</f>
        <v>Törökország</v>
      </c>
      <c r="AQ28" s="69" t="n">
        <f aca="false">SUMPRODUCT(($V$7:$V$42=AC28&amp;"_win")*($X$7:$X$42))+SUMPRODUCT(($W$7:$W$42=AC28&amp;"_win")*($X$7:$X$42))</f>
        <v>0</v>
      </c>
      <c r="AR28" s="69" t="n">
        <f aca="false">SUMPRODUCT(($V$7:$V$42=AC28&amp;"_draw")*($X$7:$X$42))+SUMPRODUCT(($W$7:$W$42=AC28&amp;"_draw")*($X$7:$X$42))</f>
        <v>0</v>
      </c>
      <c r="AS28" s="69" t="n">
        <f aca="false">SUMPRODUCT(($E$10:$E$45=AC28)*($X$7:$X$42)*($F$10:$F$45))+SUMPRODUCT(($H$10:$H$45=AC28)*($X$7:$X$42)*($G$10:$G$45))</f>
        <v>0</v>
      </c>
      <c r="AT28" s="69" t="n">
        <f aca="false">SUMPRODUCT(($E$10:$E$45=AC28)*($X$7:$X$42)*($G$10:$G$45))+SUMPRODUCT(($H$10:$H$45=AC28)*($X$7:$X$42)*($F$10:$F$45))</f>
        <v>0</v>
      </c>
      <c r="AU28" s="69" t="n">
        <f aca="false">AS28-AT28</f>
        <v>0</v>
      </c>
      <c r="AZ28" s="82"/>
      <c r="BA28" s="78"/>
      <c r="BB28" s="78"/>
      <c r="BC28" s="78"/>
      <c r="BD28" s="117"/>
      <c r="BE28" s="78"/>
      <c r="BF28" s="118" t="n">
        <v>47</v>
      </c>
      <c r="BG28" s="97" t="str">
        <f aca="false">W48</f>
        <v>Németország</v>
      </c>
      <c r="BH28" s="98" t="n">
        <v>1</v>
      </c>
      <c r="BI28" s="99" t="n">
        <v>6</v>
      </c>
      <c r="BJ28" s="78"/>
      <c r="BK28" s="78"/>
      <c r="BL28" s="78"/>
      <c r="BM28" s="78"/>
      <c r="BN28" s="78"/>
      <c r="BO28" s="78"/>
      <c r="BP28" s="117"/>
      <c r="BQ28" s="78"/>
      <c r="BR28" s="78"/>
      <c r="BS28" s="78"/>
      <c r="BT28" s="78"/>
      <c r="BU28" s="78"/>
    </row>
    <row r="29" customFormat="false" ht="12.75" hidden="false" customHeight="true" outlineLevel="0" collapsed="false">
      <c r="A29" s="100" t="n">
        <v>20</v>
      </c>
      <c r="B29" s="101" t="str">
        <f aca="false">INDEX(T,18+INT(MOD(U26-1,7)),lang)</f>
        <v>Pé</v>
      </c>
      <c r="C29" s="102" t="str">
        <f aca="false">INDEX(T,24+MONTH(U26),lang) &amp; " " &amp; DAY(U26) &amp; ", " &amp; YEAR(U26)</f>
        <v>Jún 17, 2016</v>
      </c>
      <c r="D29" s="103" t="n">
        <f aca="false">TIME(HOUR(U26),MINUTE(U26),0)</f>
        <v>0.75</v>
      </c>
      <c r="E29" s="104" t="str">
        <f aca="false">AC29</f>
        <v>Cseh Köztársaság</v>
      </c>
      <c r="F29" s="105" t="n">
        <v>2</v>
      </c>
      <c r="G29" s="106" t="n">
        <v>2</v>
      </c>
      <c r="H29" s="107" t="str">
        <f aca="false">AC27</f>
        <v>Horvátország</v>
      </c>
      <c r="I29" s="108" t="n">
        <f aca="false">INDEX(T,112,lang)</f>
        <v>0</v>
      </c>
      <c r="J29" s="108"/>
      <c r="K29" s="108"/>
      <c r="L29" s="0"/>
      <c r="M29" s="93" t="str">
        <f aca="false">VLOOKUP(3,AB26:AL29,2,0)</f>
        <v>Törökország</v>
      </c>
      <c r="N29" s="94" t="n">
        <f aca="false">O29+P29+Q29</f>
        <v>3</v>
      </c>
      <c r="O29" s="94" t="n">
        <f aca="false">VLOOKUP(3,AB26:AL29,3,0)</f>
        <v>1</v>
      </c>
      <c r="P29" s="94" t="n">
        <f aca="false">VLOOKUP(3,AB26:AL29,4,0)</f>
        <v>0</v>
      </c>
      <c r="Q29" s="94" t="n">
        <f aca="false">VLOOKUP(3,AB26:AL29,5,0)</f>
        <v>2</v>
      </c>
      <c r="R29" s="94" t="str">
        <f aca="false">VLOOKUP(3,AB26:AL29,6,0) &amp; " - " &amp; VLOOKUP(3,AB26:AL29,7,0)</f>
        <v>2 - 4</v>
      </c>
      <c r="S29" s="95" t="n">
        <f aca="false">O29*3+P29</f>
        <v>3</v>
      </c>
      <c r="U29" s="65" t="n">
        <f aca="false">DATE(2016,6,18)+TIME(5,0,0)+gmt_delta</f>
        <v>42539.75</v>
      </c>
      <c r="V29" s="66" t="str">
        <f aca="false">IF(OR(F32="",G32=""),"",IF(F32&gt;G32,E32&amp;"_win",IF(F32&lt;G32,E32&amp;"_lose",E32&amp;"_draw")))</f>
        <v>Izland_draw</v>
      </c>
      <c r="W29" s="66" t="str">
        <f aca="false">IF(V29="","",IF(F32&lt;G32,H32&amp;"_win",IF(F32&gt;G32,H32&amp;"_lose",H32&amp;"_draw")))</f>
        <v>Magyarország_draw</v>
      </c>
      <c r="X29" s="67" t="n">
        <f aca="false">IF(V29="",0,IF(VLOOKUP(E32,$AC$8:$AL$53,7,0)=VLOOKUP(H32,$AC$8:$AL$53,7,0),1,0))</f>
        <v>1</v>
      </c>
      <c r="Y29" s="65" t="n">
        <f aca="false">X29*F32</f>
        <v>1</v>
      </c>
      <c r="Z29" s="65" t="n">
        <f aca="false">X29*G32</f>
        <v>1</v>
      </c>
      <c r="AA29" s="0"/>
      <c r="AB29" s="65" t="n">
        <f aca="false">COUNTIF(AO26:AO29,CONCATENATE("&gt;=",AO29))</f>
        <v>4</v>
      </c>
      <c r="AC29" s="67" t="str">
        <f aca="false">INDEX(T,58,lang)</f>
        <v>Cseh Köztársaság</v>
      </c>
      <c r="AD29" s="65" t="n">
        <f aca="false">COUNTIF($V$7:$W$42,"=" &amp; AC29 &amp; "_win")</f>
        <v>0</v>
      </c>
      <c r="AE29" s="65" t="n">
        <f aca="false">COUNTIF($V$7:$W$42,"=" &amp; AC29 &amp; "_draw")</f>
        <v>1</v>
      </c>
      <c r="AF29" s="65" t="n">
        <f aca="false">COUNTIF($V$7:$W$42,"=" &amp; AC29 &amp; "_lose")</f>
        <v>2</v>
      </c>
      <c r="AG29" s="65" t="n">
        <f aca="false">SUMIF($E$10:$E$45,$AC29,$F$10:$F$45) + SUMIF($H$10:$H$45,$AC29,$G$10:$G$45)</f>
        <v>2</v>
      </c>
      <c r="AH29" s="65" t="n">
        <f aca="false">SUMIF($E$10:$E$45,$AC29,$G$10:$G$45) + SUMIF($H$10:$H$45,$AC29,$F$10:$F$45)</f>
        <v>5</v>
      </c>
      <c r="AI29" s="65" t="n">
        <f aca="false">AL29*10000</f>
        <v>10000</v>
      </c>
      <c r="AJ29" s="65" t="n">
        <f aca="false">AG29-AH29</f>
        <v>-3</v>
      </c>
      <c r="AK29" s="65" t="n">
        <f aca="false">(AJ29-AJ31)/AJ30</f>
        <v>0</v>
      </c>
      <c r="AL29" s="65" t="n">
        <f aca="false">AD29*3+AE29</f>
        <v>1</v>
      </c>
      <c r="AM29" s="65" t="n">
        <f aca="false">AQ29/AQ30*10+AR29/AR30+AU29/AU30*0.1+AS29/AS30*0.01</f>
        <v>0</v>
      </c>
      <c r="AN29" s="65" t="n">
        <f aca="false">VLOOKUP(AC29,db_fifarank,2,0)/2000000</f>
        <v>0.0147015</v>
      </c>
      <c r="AO29" s="67" t="n">
        <f aca="false">10000000*AL29/AL30+100000*AM29/AM30+100*AK29+10*AG29/AG30+1*AM29/AM30+AN29</f>
        <v>1428576.44327293</v>
      </c>
      <c r="AP29" s="0"/>
      <c r="AQ29" s="69" t="n">
        <f aca="false">SUMPRODUCT(($V$7:$V$42=AC29&amp;"_win")*($X$7:$X$42))+SUMPRODUCT(($W$7:$W$42=AC29&amp;"_win")*($X$7:$X$42))</f>
        <v>0</v>
      </c>
      <c r="AR29" s="69" t="n">
        <f aca="false">SUMPRODUCT(($V$7:$V$42=AC29&amp;"_draw")*($X$7:$X$42))+SUMPRODUCT(($W$7:$W$42=AC29&amp;"_draw")*($X$7:$X$42))</f>
        <v>0</v>
      </c>
      <c r="AS29" s="69" t="n">
        <f aca="false">SUMPRODUCT(($E$10:$E$45=AC29)*($X$7:$X$42)*($F$10:$F$45))+SUMPRODUCT(($H$10:$H$45=AC29)*($X$7:$X$42)*($G$10:$G$45))</f>
        <v>0</v>
      </c>
      <c r="AT29" s="69" t="n">
        <f aca="false">SUMPRODUCT(($E$10:$E$45=AC29)*($X$7:$X$42)*($G$10:$G$45))+SUMPRODUCT(($H$10:$H$45=AC29)*($X$7:$X$42)*($F$10:$F$45))</f>
        <v>0</v>
      </c>
      <c r="AU29" s="69" t="n">
        <f aca="false">AS29-AT29</f>
        <v>0</v>
      </c>
      <c r="AZ29" s="82" t="str">
        <f aca="false">INDEX(T,24+MONTH(U52),lang) &amp; " " &amp; DAY(U52) &amp; ", " &amp; YEAR(U52) &amp; "   " &amp; TEXT(TIME(HOUR(U52),MINUTE(U52),0),"hh:mm")</f>
        <v>Jún 27, 2016   01:00</v>
      </c>
      <c r="BA29" s="78"/>
      <c r="BB29" s="78"/>
      <c r="BC29" s="113"/>
      <c r="BD29" s="117"/>
      <c r="BE29" s="121"/>
      <c r="BF29" s="118"/>
      <c r="BG29" s="109" t="str">
        <f aca="false">W49</f>
        <v>Olaszország</v>
      </c>
      <c r="BH29" s="110" t="n">
        <v>1</v>
      </c>
      <c r="BI29" s="111" t="n">
        <v>5</v>
      </c>
      <c r="BJ29" s="112"/>
      <c r="BK29" s="78"/>
      <c r="BL29" s="78"/>
      <c r="BM29" s="78"/>
      <c r="BN29" s="78"/>
      <c r="BO29" s="78"/>
      <c r="BP29" s="117"/>
      <c r="BQ29" s="78"/>
      <c r="BR29" s="78"/>
      <c r="BS29" s="78"/>
      <c r="BT29" s="78"/>
      <c r="BU29" s="78"/>
    </row>
    <row r="30" customFormat="false" ht="12.75" hidden="false" customHeight="true" outlineLevel="0" collapsed="false">
      <c r="A30" s="100" t="n">
        <v>21</v>
      </c>
      <c r="B30" s="101" t="str">
        <f aca="false">INDEX(T,18+INT(MOD(U27-1,7)),lang)</f>
        <v>Pé</v>
      </c>
      <c r="C30" s="102" t="str">
        <f aca="false">INDEX(T,24+MONTH(U27),lang) &amp; " " &amp; DAY(U27) &amp; ", " &amp; YEAR(U27)</f>
        <v>Jún 17, 2016</v>
      </c>
      <c r="D30" s="103" t="n">
        <f aca="false">TIME(HOUR(U27),MINUTE(U27),0)</f>
        <v>0.875</v>
      </c>
      <c r="E30" s="104" t="str">
        <f aca="false">AC26</f>
        <v>Spanyolország</v>
      </c>
      <c r="F30" s="105" t="n">
        <v>3</v>
      </c>
      <c r="G30" s="106" t="n">
        <v>0</v>
      </c>
      <c r="H30" s="107" t="str">
        <f aca="false">AC28</f>
        <v>Törökország</v>
      </c>
      <c r="I30" s="108" t="n">
        <f aca="false">INDEX(T,103,lang)</f>
        <v>0</v>
      </c>
      <c r="J30" s="108"/>
      <c r="K30" s="108"/>
      <c r="L30" s="0"/>
      <c r="M30" s="114" t="str">
        <f aca="false">VLOOKUP(4,AB26:AL29,2,0)</f>
        <v>Cseh Köztársaság</v>
      </c>
      <c r="N30" s="115" t="n">
        <f aca="false">O30+P30+Q30</f>
        <v>3</v>
      </c>
      <c r="O30" s="115" t="n">
        <f aca="false">VLOOKUP(4,AB26:AL29,3,0)</f>
        <v>0</v>
      </c>
      <c r="P30" s="115" t="n">
        <f aca="false">VLOOKUP(4,AB26:AL29,4,0)</f>
        <v>1</v>
      </c>
      <c r="Q30" s="115" t="n">
        <f aca="false">VLOOKUP(4,AB26:AL29,5,0)</f>
        <v>2</v>
      </c>
      <c r="R30" s="115" t="str">
        <f aca="false">VLOOKUP(4,AB26:AL29,6,0) &amp; " - " &amp; VLOOKUP(4,AB26:AL29,7,0)</f>
        <v>2 - 5</v>
      </c>
      <c r="S30" s="116" t="n">
        <f aca="false">O30*3+P30</f>
        <v>1</v>
      </c>
      <c r="U30" s="65" t="n">
        <f aca="false">DATE(2016,6,18)+TIME(8,0,0)+gmt_delta</f>
        <v>42539.875</v>
      </c>
      <c r="V30" s="66" t="str">
        <f aca="false">IF(OR(F33="",G33=""),"",IF(F33&gt;G33,E33&amp;"_win",IF(F33&lt;G33,E33&amp;"_lose",E33&amp;"_draw")))</f>
        <v>Portugália_draw</v>
      </c>
      <c r="W30" s="66" t="str">
        <f aca="false">IF(V30="","",IF(F33&lt;G33,H33&amp;"_win",IF(F33&gt;G33,H33&amp;"_lose",H33&amp;"_draw")))</f>
        <v>Ausztria_draw</v>
      </c>
      <c r="X30" s="67" t="n">
        <f aca="false">IF(V30="",0,IF(VLOOKUP(E33,$AC$8:$AL$53,7,0)=VLOOKUP(H33,$AC$8:$AL$53,7,0),1,0))</f>
        <v>0</v>
      </c>
      <c r="Y30" s="65" t="n">
        <f aca="false">X30*F33</f>
        <v>0</v>
      </c>
      <c r="Z30" s="65" t="n">
        <f aca="false">X30*G33</f>
        <v>0</v>
      </c>
      <c r="AA30" s="0"/>
      <c r="AB30" s="0"/>
      <c r="AC30" s="0"/>
      <c r="AD30" s="65" t="n">
        <f aca="false">MAX(AD26:AD29)-MIN(AD26:AD29)+1</f>
        <v>3</v>
      </c>
      <c r="AE30" s="65" t="n">
        <f aca="false">MAX(AE26:AE29)-MIN(AE26:AE29)+1</f>
        <v>2</v>
      </c>
      <c r="AF30" s="65" t="n">
        <f aca="false">MAX(AF26:AF29)-MIN(AF26:AF29)+1</f>
        <v>3</v>
      </c>
      <c r="AG30" s="65" t="n">
        <f aca="false">MAX(AG26:AG29)-MIN(AG26:AG29)+1</f>
        <v>4</v>
      </c>
      <c r="AH30" s="65" t="n">
        <f aca="false">MAX(AH26:AH29)-MIN(AH26:AH29)+1</f>
        <v>4</v>
      </c>
      <c r="AI30" s="65" t="n">
        <f aca="false">MAX(AI26:AI29)-AI31+1</f>
        <v>60001</v>
      </c>
      <c r="AJ30" s="65" t="n">
        <f aca="false">MAX(AJ26:AJ29)-AJ31+1</f>
        <v>7</v>
      </c>
      <c r="AK30" s="0"/>
      <c r="AL30" s="65" t="n">
        <f aca="false">MAX(AL26:AL29)-MIN(AL26:AL29)+1</f>
        <v>7</v>
      </c>
      <c r="AM30" s="65" t="n">
        <f aca="false">MAX(AM26:AM29)-MIN(AM26:AM29)+1</f>
        <v>1</v>
      </c>
      <c r="AN30" s="0"/>
      <c r="AO30" s="0"/>
      <c r="AP30" s="0"/>
      <c r="AQ30" s="65" t="n">
        <f aca="false">MAX(AQ26:AQ29)-MIN(AQ26:AQ29)+1</f>
        <v>1</v>
      </c>
      <c r="AR30" s="65" t="n">
        <f aca="false">MAX(AR26:AR29)-MIN(AR26:AR29)+1</f>
        <v>1</v>
      </c>
      <c r="AS30" s="65" t="n">
        <f aca="false">MAX(AS26:AS29)-MIN(AS26:AS29)+1</f>
        <v>1</v>
      </c>
      <c r="AT30" s="65" t="n">
        <f aca="false">MAX(AT26:AT29)-MIN(AT26:AT29)+1</f>
        <v>1</v>
      </c>
      <c r="AU30" s="65" t="n">
        <f aca="false">MAX(AU26:AU29)-MIN(AU26:AU29)+1</f>
        <v>1</v>
      </c>
      <c r="AZ30" s="96" t="n">
        <v>43</v>
      </c>
      <c r="BA30" s="97" t="str">
        <f aca="false">AP32</f>
        <v>Olaszország</v>
      </c>
      <c r="BB30" s="98" t="n">
        <v>2</v>
      </c>
      <c r="BC30" s="99"/>
      <c r="BD30" s="122"/>
      <c r="BE30" s="78"/>
      <c r="BF30" s="78"/>
      <c r="BG30" s="78"/>
      <c r="BH30" s="78"/>
      <c r="BI30" s="78"/>
      <c r="BJ30" s="117"/>
      <c r="BK30" s="78"/>
      <c r="BL30" s="78"/>
      <c r="BM30" s="78"/>
      <c r="BN30" s="78"/>
      <c r="BO30" s="78"/>
      <c r="BP30" s="117"/>
      <c r="BQ30" s="78"/>
      <c r="BR30" s="78"/>
      <c r="BS30" s="78"/>
      <c r="BT30" s="78"/>
      <c r="BU30" s="78"/>
    </row>
    <row r="31" customFormat="false" ht="12.75" hidden="false" customHeight="true" outlineLevel="0" collapsed="false">
      <c r="A31" s="100" t="n">
        <v>22</v>
      </c>
      <c r="B31" s="101" t="str">
        <f aca="false">INDEX(T,18+INT(MOD(U28-1,7)),lang)</f>
        <v>Szo</v>
      </c>
      <c r="C31" s="102" t="str">
        <f aca="false">INDEX(T,24+MONTH(U28),lang) &amp; " " &amp; DAY(U28) &amp; ", " &amp; YEAR(U28)</f>
        <v>Jún 18, 2016</v>
      </c>
      <c r="D31" s="103" t="n">
        <f aca="false">TIME(HOUR(U28),MINUTE(U28),0)</f>
        <v>0.625</v>
      </c>
      <c r="E31" s="104" t="str">
        <f aca="false">AC32</f>
        <v>Belgium</v>
      </c>
      <c r="F31" s="105" t="n">
        <v>3</v>
      </c>
      <c r="G31" s="106" t="n">
        <v>0</v>
      </c>
      <c r="H31" s="107" t="str">
        <f aca="false">AC33</f>
        <v>Ír Köztársaság</v>
      </c>
      <c r="I31" s="108" t="n">
        <f aca="false">INDEX(T,113,lang)</f>
        <v>0</v>
      </c>
      <c r="J31" s="108"/>
      <c r="K31" s="108"/>
      <c r="L31" s="0"/>
      <c r="M31" s="0"/>
      <c r="N31" s="0"/>
      <c r="O31" s="0"/>
      <c r="P31" s="0"/>
      <c r="Q31" s="0"/>
      <c r="R31" s="0"/>
      <c r="S31" s="0"/>
      <c r="U31" s="65" t="n">
        <f aca="false">DATE(2016,6,19)+TIME(8,0,0)+gmt_delta</f>
        <v>42540.875</v>
      </c>
      <c r="V31" s="66" t="str">
        <f aca="false">IF(OR(F34="",G34=""),"",IF(F34&gt;G34,E34&amp;"_win",IF(F34&lt;G34,E34&amp;"_lose",E34&amp;"_draw")))</f>
        <v>Románia_lose</v>
      </c>
      <c r="W31" s="66" t="str">
        <f aca="false">IF(V31="","",IF(F34&lt;G34,H34&amp;"_win",IF(F34&gt;G34,H34&amp;"_lose",H34&amp;"_draw")))</f>
        <v>Albánia_win</v>
      </c>
      <c r="X31" s="67" t="n">
        <f aca="false">IF(V31="",0,IF(VLOOKUP(E34,$AC$8:$AL$53,7,0)=VLOOKUP(H34,$AC$8:$AL$53,7,0),1,0))</f>
        <v>0</v>
      </c>
      <c r="Y31" s="65" t="n">
        <f aca="false">X31*F34</f>
        <v>0</v>
      </c>
      <c r="Z31" s="65" t="n">
        <f aca="false">X31*G34</f>
        <v>0</v>
      </c>
      <c r="AA31" s="0"/>
      <c r="AB31" s="0"/>
      <c r="AC31" s="0"/>
      <c r="AD31" s="0"/>
      <c r="AE31" s="0"/>
      <c r="AF31" s="0"/>
      <c r="AG31" s="0"/>
      <c r="AH31" s="0"/>
      <c r="AI31" s="65" t="n">
        <f aca="false">MIN(AI26:AI29)</f>
        <v>10000</v>
      </c>
      <c r="AJ31" s="65" t="n">
        <f aca="false">MIN(AJ26:AJ29)</f>
        <v>-3</v>
      </c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Z31" s="96"/>
      <c r="BA31" s="109" t="str">
        <f aca="false">AP27</f>
        <v>Spanyolország</v>
      </c>
      <c r="BB31" s="110" t="n">
        <v>0</v>
      </c>
      <c r="BC31" s="111"/>
      <c r="BD31" s="78"/>
      <c r="BE31" s="78"/>
      <c r="BF31" s="78"/>
      <c r="BG31" s="78"/>
      <c r="BH31" s="78"/>
      <c r="BI31" s="78"/>
      <c r="BJ31" s="117"/>
      <c r="BK31" s="78"/>
      <c r="BL31" s="78" t="str">
        <f aca="false">INDEX(T,24+MONTH(U65),lang) &amp; " " &amp; DAY(U65) &amp; ", " &amp; YEAR(U65) &amp; "   " &amp; TEXT(TIME(HOUR(U65),MINUTE(U65),0),"hh:mm")</f>
        <v>Júl 7, 2016   01:00</v>
      </c>
      <c r="BM31" s="78"/>
      <c r="BN31" s="78"/>
      <c r="BO31" s="113"/>
      <c r="BP31" s="117"/>
      <c r="BQ31" s="123"/>
      <c r="BR31" s="0"/>
      <c r="BS31" s="0"/>
      <c r="BT31" s="0"/>
      <c r="BU31" s="0"/>
    </row>
    <row r="32" customFormat="false" ht="12.75" hidden="false" customHeight="true" outlineLevel="0" collapsed="false">
      <c r="A32" s="100" t="n">
        <v>23</v>
      </c>
      <c r="B32" s="101" t="str">
        <f aca="false">INDEX(T,18+INT(MOD(U29-1,7)),lang)</f>
        <v>Szo</v>
      </c>
      <c r="C32" s="102" t="str">
        <f aca="false">INDEX(T,24+MONTH(U29),lang) &amp; " " &amp; DAY(U29) &amp; ", " &amp; YEAR(U29)</f>
        <v>Jún 18, 2016</v>
      </c>
      <c r="D32" s="103" t="n">
        <f aca="false">TIME(HOUR(U29),MINUTE(U29),0)</f>
        <v>0.75</v>
      </c>
      <c r="E32" s="104" t="str">
        <f aca="false">AC39</f>
        <v>Izland</v>
      </c>
      <c r="F32" s="105" t="n">
        <v>1</v>
      </c>
      <c r="G32" s="106" t="n">
        <v>1</v>
      </c>
      <c r="H32" s="107" t="str">
        <f aca="false">AC41</f>
        <v>Magyarország</v>
      </c>
      <c r="I32" s="108" t="n">
        <f aca="false">INDEX(T,106,lang)</f>
        <v>0</v>
      </c>
      <c r="J32" s="108"/>
      <c r="K32" s="108"/>
      <c r="L32" s="0"/>
      <c r="M32" s="76" t="str">
        <f aca="false">INDEX(T,9,lang) &amp; " " &amp; "E"</f>
        <v>Csoport E</v>
      </c>
      <c r="N32" s="77" t="str">
        <f aca="false">INDEX(T,10,lang)</f>
        <v>M</v>
      </c>
      <c r="O32" s="77" t="str">
        <f aca="false">INDEX(T,11,lang)</f>
        <v>GY</v>
      </c>
      <c r="P32" s="77" t="str">
        <f aca="false">INDEX(T,12,lang)</f>
        <v>D</v>
      </c>
      <c r="Q32" s="77" t="str">
        <f aca="false">INDEX(T,13,lang)</f>
        <v>V</v>
      </c>
      <c r="R32" s="77" t="str">
        <f aca="false">INDEX(T,14,lang)</f>
        <v>Gólkül.</v>
      </c>
      <c r="S32" s="77" t="str">
        <f aca="false">INDEX(T,15,lang)</f>
        <v>PNT</v>
      </c>
      <c r="U32" s="65" t="n">
        <f aca="false">DATE(2016,6,19)+TIME(8,0,0)+gmt_delta</f>
        <v>42540.875</v>
      </c>
      <c r="V32" s="66" t="str">
        <f aca="false">IF(OR(F35="",G35=""),"",IF(F35&gt;G35,E35&amp;"_win",IF(F35&lt;G35,E35&amp;"_lose",E35&amp;"_draw")))</f>
        <v>Svájc_draw</v>
      </c>
      <c r="W32" s="66" t="str">
        <f aca="false">IF(V32="","",IF(F35&lt;G35,H35&amp;"_win",IF(F35&gt;G35,H35&amp;"_lose",H35&amp;"_draw")))</f>
        <v>Franciaország_draw</v>
      </c>
      <c r="X32" s="67" t="n">
        <f aca="false">IF(V32="",0,IF(VLOOKUP(E35,$AC$8:$AL$53,7,0)=VLOOKUP(H35,$AC$8:$AL$53,7,0),1,0))</f>
        <v>0</v>
      </c>
      <c r="Y32" s="65" t="n">
        <f aca="false">X32*F35</f>
        <v>0</v>
      </c>
      <c r="Z32" s="65" t="n">
        <f aca="false">X32*G35</f>
        <v>0</v>
      </c>
      <c r="AA32" s="0"/>
      <c r="AB32" s="65" t="n">
        <f aca="false">COUNTIF(AO32:AO35,CONCATENATE("&gt;=",AO32))</f>
        <v>2</v>
      </c>
      <c r="AC32" s="67" t="str">
        <f aca="false">INDEX(T,67,lang)</f>
        <v>Belgium</v>
      </c>
      <c r="AD32" s="65" t="n">
        <f aca="false">COUNTIF($V$7:$W$42,"=" &amp; AC32 &amp; "_win")</f>
        <v>2</v>
      </c>
      <c r="AE32" s="65" t="n">
        <f aca="false">COUNTIF($V$7:$W$42,"=" &amp; AC32 &amp; "_draw")</f>
        <v>0</v>
      </c>
      <c r="AF32" s="65" t="n">
        <f aca="false">COUNTIF($V$7:$W$42,"=" &amp; AC32 &amp; "_lose")</f>
        <v>1</v>
      </c>
      <c r="AG32" s="65" t="n">
        <f aca="false">SUMIF($E$10:$E$45,$AC32,$F$10:$F$45) + SUMIF($H$10:$H$45,$AC32,$G$10:$G$45)</f>
        <v>4</v>
      </c>
      <c r="AH32" s="65" t="n">
        <f aca="false">SUMIF($E$10:$E$45,$AC32,$G$10:$G$45) + SUMIF($H$10:$H$45,$AC32,$F$10:$F$45)</f>
        <v>2</v>
      </c>
      <c r="AI32" s="65" t="n">
        <f aca="false">AL32*10000</f>
        <v>60000</v>
      </c>
      <c r="AJ32" s="65" t="n">
        <f aca="false">AG32-AH32</f>
        <v>2</v>
      </c>
      <c r="AK32" s="65" t="n">
        <f aca="false">(AJ32-AJ37)/AJ36</f>
        <v>0.8</v>
      </c>
      <c r="AL32" s="65" t="n">
        <f aca="false">AD32*3+AE32</f>
        <v>6</v>
      </c>
      <c r="AM32" s="65" t="n">
        <f aca="false">AQ32/AQ36*10+AR32/AR36+AU32/AU36*0.1+AS32/AS36*0.01</f>
        <v>-0.04</v>
      </c>
      <c r="AN32" s="65" t="n">
        <f aca="false">VLOOKUP(AC32,db_fifarank,2,0)/2000000</f>
        <v>0.017221</v>
      </c>
      <c r="AO32" s="67" t="n">
        <f aca="false">10000000*AL32/AL36+100000*AM32/AM36+100*AK32+10*AG32/AG36+1*AM32/AM36+AN32</f>
        <v>9999432.83649811</v>
      </c>
      <c r="AP32" s="68" t="str">
        <f aca="false">IF(SUM(AD32:AF35)=12,M33,INDEX(T,78,lang))</f>
        <v>Olaszország</v>
      </c>
      <c r="AQ32" s="69" t="n">
        <f aca="false">SUMPRODUCT(($V$7:$V$42=AC32&amp;"_win")*($X$7:$X$42))+SUMPRODUCT(($W$7:$W$42=AC32&amp;"_win")*($X$7:$X$42))</f>
        <v>0</v>
      </c>
      <c r="AR32" s="69" t="n">
        <f aca="false">SUMPRODUCT(($V$7:$V$42=AC32&amp;"_draw")*($X$7:$X$42))+SUMPRODUCT(($W$7:$W$42=AC32&amp;"_draw")*($X$7:$X$42))</f>
        <v>0</v>
      </c>
      <c r="AS32" s="69" t="n">
        <f aca="false">SUMPRODUCT(($E$10:$E$45=AC32)*($X$7:$X$42)*($F$10:$F$45))+SUMPRODUCT(($H$10:$H$45=AC32)*($X$7:$X$42)*($G$10:$G$45))</f>
        <v>0</v>
      </c>
      <c r="AT32" s="69" t="n">
        <f aca="false">SUMPRODUCT(($E$10:$E$45=AC32)*($X$7:$X$42)*($G$10:$G$45))+SUMPRODUCT(($H$10:$H$45=AC32)*($X$7:$X$42)*($F$10:$F$45))</f>
        <v>2</v>
      </c>
      <c r="AU32" s="69" t="n">
        <f aca="false">AS32-AT32</f>
        <v>-2</v>
      </c>
      <c r="AZ32" s="82"/>
      <c r="BA32" s="78"/>
      <c r="BB32" s="78"/>
      <c r="BC32" s="78"/>
      <c r="BD32" s="78"/>
      <c r="BE32" s="78"/>
      <c r="BF32" s="78"/>
      <c r="BG32" s="78"/>
      <c r="BH32" s="78"/>
      <c r="BI32" s="78"/>
      <c r="BJ32" s="117"/>
      <c r="BK32" s="78"/>
      <c r="BL32" s="118" t="n">
        <v>50</v>
      </c>
      <c r="BM32" s="97" t="str">
        <f aca="false">W59</f>
        <v>Németország</v>
      </c>
      <c r="BN32" s="98"/>
      <c r="BO32" s="99"/>
      <c r="BP32" s="122"/>
      <c r="BQ32" s="123"/>
      <c r="BR32" s="0"/>
      <c r="BS32" s="0"/>
      <c r="BT32" s="0"/>
      <c r="BU32" s="0"/>
    </row>
    <row r="33" customFormat="false" ht="12.75" hidden="false" customHeight="false" outlineLevel="0" collapsed="false">
      <c r="A33" s="100" t="n">
        <v>24</v>
      </c>
      <c r="B33" s="101" t="str">
        <f aca="false">INDEX(T,18+INT(MOD(U30-1,7)),lang)</f>
        <v>Szo</v>
      </c>
      <c r="C33" s="102" t="str">
        <f aca="false">INDEX(T,24+MONTH(U30),lang) &amp; " " &amp; DAY(U30) &amp; ", " &amp; YEAR(U30)</f>
        <v>Jún 18, 2016</v>
      </c>
      <c r="D33" s="103" t="n">
        <f aca="false">TIME(HOUR(U30),MINUTE(U30),0)</f>
        <v>0.875</v>
      </c>
      <c r="E33" s="104" t="str">
        <f aca="false">AC38</f>
        <v>Portugália</v>
      </c>
      <c r="F33" s="105" t="n">
        <v>0</v>
      </c>
      <c r="G33" s="106" t="n">
        <v>0</v>
      </c>
      <c r="H33" s="107" t="str">
        <f aca="false">AC40</f>
        <v>Ausztria</v>
      </c>
      <c r="I33" s="108" t="n">
        <f aca="false">INDEX(T,107,lang)</f>
        <v>0</v>
      </c>
      <c r="J33" s="108"/>
      <c r="K33" s="108"/>
      <c r="L33" s="0"/>
      <c r="M33" s="79" t="str">
        <f aca="false">VLOOKUP(1,AB32:AL35,2,0)</f>
        <v>Olaszország</v>
      </c>
      <c r="N33" s="80" t="n">
        <f aca="false">O33+P33+Q33</f>
        <v>3</v>
      </c>
      <c r="O33" s="80" t="n">
        <f aca="false">VLOOKUP(1,AB32:AL35,3,0)</f>
        <v>2</v>
      </c>
      <c r="P33" s="80" t="n">
        <f aca="false">VLOOKUP(1,AB32:AL35,4,0)</f>
        <v>0</v>
      </c>
      <c r="Q33" s="80" t="n">
        <f aca="false">VLOOKUP(1,AB32:AL35,5,0)</f>
        <v>1</v>
      </c>
      <c r="R33" s="80" t="str">
        <f aca="false">VLOOKUP(1,AB32:AL35,6,0) &amp; " - " &amp; VLOOKUP(1,AB32:AL35,7,0)</f>
        <v>3 - 1</v>
      </c>
      <c r="S33" s="81" t="n">
        <f aca="false">O33*3+P33</f>
        <v>6</v>
      </c>
      <c r="U33" s="65" t="n">
        <f aca="false">DATE(2016,6,20)+TIME(8,0,0)+gmt_delta</f>
        <v>42541.875</v>
      </c>
      <c r="V33" s="66" t="str">
        <f aca="false">IF(OR(F36="",G36=""),"",IF(F36&gt;G36,E36&amp;"_win",IF(F36&lt;G36,E36&amp;"_lose",E36&amp;"_draw")))</f>
        <v>Oroszország_lose</v>
      </c>
      <c r="W33" s="66" t="str">
        <f aca="false">IF(V33="","",IF(F36&lt;G36,H36&amp;"_win",IF(F36&gt;G36,H36&amp;"_lose",H36&amp;"_draw")))</f>
        <v>Wales_win</v>
      </c>
      <c r="X33" s="67" t="n">
        <f aca="false">IF(V33="",0,IF(VLOOKUP(E36,$AC$8:$AL$53,7,0)=VLOOKUP(H36,$AC$8:$AL$53,7,0),1,0))</f>
        <v>0</v>
      </c>
      <c r="Y33" s="65" t="n">
        <f aca="false">X33*F36</f>
        <v>0</v>
      </c>
      <c r="Z33" s="65" t="n">
        <f aca="false">X33*G36</f>
        <v>0</v>
      </c>
      <c r="AA33" s="0"/>
      <c r="AB33" s="65" t="n">
        <f aca="false">COUNTIF(AO32:AO35,CONCATENATE("&gt;=",AO33))</f>
        <v>3</v>
      </c>
      <c r="AC33" s="67" t="str">
        <f aca="false">INDEX(T,59,lang)</f>
        <v>Ír Köztársaság</v>
      </c>
      <c r="AD33" s="65" t="n">
        <f aca="false">COUNTIF($V$7:$W$42,"=" &amp; AC33 &amp; "_win")</f>
        <v>1</v>
      </c>
      <c r="AE33" s="65" t="n">
        <f aca="false">COUNTIF($V$7:$W$42,"=" &amp; AC33 &amp; "_draw")</f>
        <v>1</v>
      </c>
      <c r="AF33" s="65" t="n">
        <f aca="false">COUNTIF($V$7:$W$42,"=" &amp; AC33 &amp; "_lose")</f>
        <v>1</v>
      </c>
      <c r="AG33" s="65" t="n">
        <f aca="false">SUMIF($E$10:$E$45,$AC33,$F$10:$F$45) + SUMIF($H$10:$H$45,$AC33,$G$10:$G$45)</f>
        <v>2</v>
      </c>
      <c r="AH33" s="65" t="n">
        <f aca="false">SUMIF($E$10:$E$45,$AC33,$G$10:$G$45) + SUMIF($H$10:$H$45,$AC33,$F$10:$F$45)</f>
        <v>4</v>
      </c>
      <c r="AI33" s="65" t="n">
        <f aca="false">AL33*10000</f>
        <v>40000</v>
      </c>
      <c r="AJ33" s="65" t="n">
        <f aca="false">AG33-AH33</f>
        <v>-2</v>
      </c>
      <c r="AK33" s="65" t="n">
        <f aca="false">(AJ33-AJ37)/AJ36</f>
        <v>0</v>
      </c>
      <c r="AL33" s="65" t="n">
        <f aca="false">AD33*3+AE33</f>
        <v>4</v>
      </c>
      <c r="AM33" s="65" t="n">
        <f aca="false">AQ33/AQ36*10+AR33/AR36+AU33/AU36*0.1+AS33/AS36*0.01</f>
        <v>0</v>
      </c>
      <c r="AN33" s="65" t="n">
        <f aca="false">VLOOKUP(AC33,db_fifarank,2,0)/2000000</f>
        <v>0.013451</v>
      </c>
      <c r="AO33" s="67" t="n">
        <f aca="false">10000000*AL33/AL36+100000*AM33/AM36+100*AK33+10*AG33/AG36+1*AM33/AM36+AN33</f>
        <v>6666671.68011767</v>
      </c>
      <c r="AP33" s="68" t="str">
        <f aca="false">IF(SUM(AD32:AF35)=12,M34,INDEX(T,79,lang))</f>
        <v>Belgium</v>
      </c>
      <c r="AQ33" s="69" t="n">
        <f aca="false">SUMPRODUCT(($V$7:$V$42=AC33&amp;"_win")*($X$7:$X$42))+SUMPRODUCT(($W$7:$W$42=AC33&amp;"_win")*($X$7:$X$42))</f>
        <v>0</v>
      </c>
      <c r="AR33" s="69" t="n">
        <f aca="false">SUMPRODUCT(($V$7:$V$42=AC33&amp;"_draw")*($X$7:$X$42))+SUMPRODUCT(($W$7:$W$42=AC33&amp;"_draw")*($X$7:$X$42))</f>
        <v>0</v>
      </c>
      <c r="AS33" s="69" t="n">
        <f aca="false">SUMPRODUCT(($E$10:$E$45=AC33)*($X$7:$X$42)*($F$10:$F$45))+SUMPRODUCT(($H$10:$H$45=AC33)*($X$7:$X$42)*($G$10:$G$45))</f>
        <v>0</v>
      </c>
      <c r="AT33" s="69" t="n">
        <f aca="false">SUMPRODUCT(($E$10:$E$45=AC33)*($X$7:$X$42)*($G$10:$G$45))+SUMPRODUCT(($H$10:$H$45=AC33)*($X$7:$X$42)*($F$10:$F$45))</f>
        <v>0</v>
      </c>
      <c r="AU33" s="69" t="n">
        <f aca="false">AS33-AT33</f>
        <v>0</v>
      </c>
      <c r="AZ33" s="82" t="str">
        <f aca="false">INDEX(T,24+MONTH(U49),lang) &amp; " " &amp; DAY(U49) &amp; ", " &amp; YEAR(U49) &amp; "   " &amp; TEXT(TIME(HOUR(U49),MINUTE(U49),0),"hh:mm")</f>
        <v>Jún 26, 2016   01:00</v>
      </c>
      <c r="BA33" s="78"/>
      <c r="BB33" s="78"/>
      <c r="BC33" s="113"/>
      <c r="BD33" s="78"/>
      <c r="BE33" s="78"/>
      <c r="BF33" s="78"/>
      <c r="BG33" s="78"/>
      <c r="BH33" s="78"/>
      <c r="BI33" s="78"/>
      <c r="BJ33" s="117"/>
      <c r="BK33" s="121"/>
      <c r="BL33" s="118"/>
      <c r="BM33" s="109" t="str">
        <f aca="false">W60</f>
        <v>Franciaország</v>
      </c>
      <c r="BN33" s="110"/>
      <c r="BO33" s="111"/>
      <c r="BP33" s="123"/>
      <c r="BQ33" s="123"/>
      <c r="BR33" s="0"/>
      <c r="BS33" s="0"/>
      <c r="BT33" s="0"/>
      <c r="BU33" s="0"/>
    </row>
    <row r="34" customFormat="false" ht="12.8" hidden="false" customHeight="false" outlineLevel="0" collapsed="false">
      <c r="A34" s="100" t="n">
        <v>25</v>
      </c>
      <c r="B34" s="101" t="str">
        <f aca="false">INDEX(T,18+INT(MOD(U31-1,7)),lang)</f>
        <v>Vas</v>
      </c>
      <c r="C34" s="102" t="str">
        <f aca="false">INDEX(T,24+MONTH(U31),lang) &amp; " " &amp; DAY(U31) &amp; ", " &amp; YEAR(U31)</f>
        <v>Jún 19, 2016</v>
      </c>
      <c r="D34" s="103" t="n">
        <f aca="false">TIME(HOUR(U31),MINUTE(U31),0)</f>
        <v>0.875</v>
      </c>
      <c r="E34" s="104" t="str">
        <f aca="false">AC10</f>
        <v>Románia</v>
      </c>
      <c r="F34" s="105" t="n">
        <v>0</v>
      </c>
      <c r="G34" s="106" t="n">
        <v>1</v>
      </c>
      <c r="H34" s="107" t="str">
        <f aca="false">AC9</f>
        <v>Albánia</v>
      </c>
      <c r="I34" s="108" t="n">
        <f aca="false">INDEX(T,110,lang)</f>
        <v>0</v>
      </c>
      <c r="J34" s="108"/>
      <c r="K34" s="108"/>
      <c r="L34" s="0"/>
      <c r="M34" s="93" t="str">
        <f aca="false">VLOOKUP(2,AB32:AL35,2,0)</f>
        <v>Belgium</v>
      </c>
      <c r="N34" s="94" t="n">
        <f aca="false">O34+P34+Q34</f>
        <v>3</v>
      </c>
      <c r="O34" s="94" t="n">
        <f aca="false">VLOOKUP(2,AB32:AL35,3,0)</f>
        <v>2</v>
      </c>
      <c r="P34" s="94" t="n">
        <f aca="false">VLOOKUP(2,AB32:AL35,4,0)</f>
        <v>0</v>
      </c>
      <c r="Q34" s="94" t="n">
        <f aca="false">VLOOKUP(2,AB32:AL35,5,0)</f>
        <v>1</v>
      </c>
      <c r="R34" s="94" t="str">
        <f aca="false">VLOOKUP(2,AB32:AL35,6,0) &amp; " - " &amp; VLOOKUP(2,AB32:AL35,7,0)</f>
        <v>4 - 2</v>
      </c>
      <c r="S34" s="95" t="n">
        <f aca="false">O34*3+P34</f>
        <v>6</v>
      </c>
      <c r="U34" s="65" t="n">
        <f aca="false">DATE(2016,6,20)+TIME(8,0,0)+gmt_delta</f>
        <v>42541.875</v>
      </c>
      <c r="V34" s="66" t="str">
        <f aca="false">IF(OR(F37="",G37=""),"",IF(F37&gt;G37,E37&amp;"_win",IF(F37&lt;G37,E37&amp;"_lose",E37&amp;"_draw")))</f>
        <v>Szlovákia_draw</v>
      </c>
      <c r="W34" s="66" t="str">
        <f aca="false">IF(V34="","",IF(F37&lt;G37,H37&amp;"_win",IF(F37&gt;G37,H37&amp;"_lose",H37&amp;"_draw")))</f>
        <v>Anglia_draw</v>
      </c>
      <c r="X34" s="67" t="n">
        <f aca="false">IF(V34="",0,IF(VLOOKUP(E37,$AC$8:$AL$53,7,0)=VLOOKUP(H37,$AC$8:$AL$53,7,0),1,0))</f>
        <v>0</v>
      </c>
      <c r="Y34" s="65" t="n">
        <f aca="false">X34*F37</f>
        <v>0</v>
      </c>
      <c r="Z34" s="65" t="n">
        <f aca="false">X34*G37</f>
        <v>0</v>
      </c>
      <c r="AA34" s="0"/>
      <c r="AB34" s="65" t="n">
        <f aca="false">COUNTIF(AO32:AO35,CONCATENATE("&gt;=",AO34))</f>
        <v>1</v>
      </c>
      <c r="AC34" s="67" t="str">
        <f aca="false">INDEX(T,41,lang)</f>
        <v>Olaszország</v>
      </c>
      <c r="AD34" s="65" t="n">
        <f aca="false">COUNTIF($V$7:$W$42,"=" &amp; AC34 &amp; "_win")</f>
        <v>2</v>
      </c>
      <c r="AE34" s="65" t="n">
        <f aca="false">COUNTIF($V$7:$W$42,"=" &amp; AC34 &amp; "_draw")</f>
        <v>0</v>
      </c>
      <c r="AF34" s="65" t="n">
        <f aca="false">COUNTIF($V$7:$W$42,"=" &amp; AC34 &amp; "_lose")</f>
        <v>1</v>
      </c>
      <c r="AG34" s="65" t="n">
        <f aca="false">SUMIF($E$10:$E$45,$AC34,$F$10:$F$45) + SUMIF($H$10:$H$45,$AC34,$G$10:$G$45)</f>
        <v>3</v>
      </c>
      <c r="AH34" s="65" t="n">
        <f aca="false">SUMIF($E$10:$E$45,$AC34,$G$10:$G$45) + SUMIF($H$10:$H$45,$AC34,$F$10:$F$45)</f>
        <v>1</v>
      </c>
      <c r="AI34" s="65" t="n">
        <f aca="false">AL34*10000</f>
        <v>60000</v>
      </c>
      <c r="AJ34" s="65" t="n">
        <f aca="false">AG34-AH34</f>
        <v>2</v>
      </c>
      <c r="AK34" s="65" t="n">
        <f aca="false">(AJ34-AJ37)/AJ36</f>
        <v>0.8</v>
      </c>
      <c r="AL34" s="65" t="n">
        <f aca="false">AD34*3+AE34</f>
        <v>6</v>
      </c>
      <c r="AM34" s="65" t="n">
        <f aca="false">AQ34/AQ36*10+AR34/AR36+AU34/AU36*0.1+AS34/AS36*0.01</f>
        <v>5.04666666666667</v>
      </c>
      <c r="AN34" s="65" t="n">
        <f aca="false">VLOOKUP(AC34,db_fifarank,2,0)/2000000</f>
        <v>0.0171725</v>
      </c>
      <c r="AO34" s="67" t="n">
        <f aca="false">10000000*AL34/AL36+100000*AM34/AM36+100*AK34+10*AG34/AG36+1*AM34/AM36+AN34</f>
        <v>10083001.8183773</v>
      </c>
      <c r="AP34" s="68" t="str">
        <f aca="false">IF(SUM(AD32:AF35)&gt;0,M35,"3E")</f>
        <v>Ír Köztársaság</v>
      </c>
      <c r="AQ34" s="69" t="n">
        <f aca="false">SUMPRODUCT(($V$7:$V$42=AC34&amp;"_win")*($X$7:$X$42))+SUMPRODUCT(($W$7:$W$42=AC34&amp;"_win")*($X$7:$X$42))</f>
        <v>1</v>
      </c>
      <c r="AR34" s="69" t="n">
        <f aca="false">SUMPRODUCT(($V$7:$V$42=AC34&amp;"_draw")*($X$7:$X$42))+SUMPRODUCT(($W$7:$W$42=AC34&amp;"_draw")*($X$7:$X$42))</f>
        <v>0</v>
      </c>
      <c r="AS34" s="69" t="n">
        <f aca="false">SUMPRODUCT(($E$10:$E$45=AC34)*($X$7:$X$42)*($F$10:$F$45))+SUMPRODUCT(($H$10:$H$45=AC34)*($X$7:$X$42)*($G$10:$G$45))</f>
        <v>2</v>
      </c>
      <c r="AT34" s="69" t="n">
        <f aca="false">SUMPRODUCT(($E$10:$E$45=AC34)*($X$7:$X$42)*($G$10:$G$45))+SUMPRODUCT(($H$10:$H$45=AC34)*($X$7:$X$42)*($F$10:$F$45))</f>
        <v>0</v>
      </c>
      <c r="AU34" s="69" t="n">
        <f aca="false">AS34-AT34</f>
        <v>2</v>
      </c>
      <c r="AZ34" s="96" t="n">
        <v>40</v>
      </c>
      <c r="BA34" s="97" t="str">
        <f aca="false">AP8</f>
        <v>Franciaország</v>
      </c>
      <c r="BB34" s="98" t="n">
        <v>2</v>
      </c>
      <c r="BC34" s="99"/>
      <c r="BD34" s="78"/>
      <c r="BE34" s="78"/>
      <c r="BF34" s="78"/>
      <c r="BG34" s="78"/>
      <c r="BH34" s="78"/>
      <c r="BI34" s="78"/>
      <c r="BJ34" s="117"/>
      <c r="BK34" s="78"/>
      <c r="BL34" s="78"/>
      <c r="BM34" s="78"/>
      <c r="BN34" s="78"/>
      <c r="BO34" s="78"/>
      <c r="BP34" s="78"/>
      <c r="BQ34" s="78"/>
      <c r="BR34" s="0"/>
      <c r="BS34" s="0"/>
      <c r="BT34" s="0"/>
      <c r="BU34" s="0"/>
    </row>
    <row r="35" customFormat="false" ht="12.8" hidden="false" customHeight="false" outlineLevel="0" collapsed="false">
      <c r="A35" s="100" t="n">
        <v>26</v>
      </c>
      <c r="B35" s="101" t="str">
        <f aca="false">INDEX(T,18+INT(MOD(U32-1,7)),lang)</f>
        <v>Vas</v>
      </c>
      <c r="C35" s="102" t="str">
        <f aca="false">INDEX(T,24+MONTH(U32),lang) &amp; " " &amp; DAY(U32) &amp; ", " &amp; YEAR(U32)</f>
        <v>Jún 19, 2016</v>
      </c>
      <c r="D35" s="103" t="n">
        <f aca="false">TIME(HOUR(U32),MINUTE(U32),0)</f>
        <v>0.875</v>
      </c>
      <c r="E35" s="104" t="str">
        <f aca="false">AC11</f>
        <v>Svájc</v>
      </c>
      <c r="F35" s="105" t="n">
        <v>0</v>
      </c>
      <c r="G35" s="106" t="n">
        <v>0</v>
      </c>
      <c r="H35" s="107" t="str">
        <f aca="false">AC8</f>
        <v>Franciaország</v>
      </c>
      <c r="I35" s="108" t="n">
        <f aca="false">INDEX(T,111,lang)</f>
        <v>0</v>
      </c>
      <c r="J35" s="108"/>
      <c r="K35" s="108"/>
      <c r="L35" s="0"/>
      <c r="M35" s="93" t="str">
        <f aca="false">VLOOKUP(3,AB32:AL35,2,0)</f>
        <v>Ír Köztársaság</v>
      </c>
      <c r="N35" s="94" t="n">
        <f aca="false">O35+P35+Q35</f>
        <v>3</v>
      </c>
      <c r="O35" s="94" t="n">
        <f aca="false">VLOOKUP(3,AB32:AL35,3,0)</f>
        <v>1</v>
      </c>
      <c r="P35" s="94" t="n">
        <f aca="false">VLOOKUP(3,AB32:AL35,4,0)</f>
        <v>1</v>
      </c>
      <c r="Q35" s="94" t="n">
        <f aca="false">VLOOKUP(3,AB32:AL35,5,0)</f>
        <v>1</v>
      </c>
      <c r="R35" s="94" t="str">
        <f aca="false">VLOOKUP(3,AB32:AL35,6,0) &amp; " - " &amp; VLOOKUP(3,AB32:AL35,7,0)</f>
        <v>2 - 4</v>
      </c>
      <c r="S35" s="95" t="n">
        <f aca="false">O35*3+P35</f>
        <v>4</v>
      </c>
      <c r="U35" s="65" t="n">
        <f aca="false">DATE(2016,6,21)+TIME(5,0,0)+gmt_delta</f>
        <v>42542.75</v>
      </c>
      <c r="V35" s="66" t="str">
        <f aca="false">IF(OR(F38="",G38=""),"",IF(F38&gt;G38,E38&amp;"_win",IF(F38&lt;G38,E38&amp;"_lose",E38&amp;"_draw")))</f>
        <v>Ukrajna_lose</v>
      </c>
      <c r="W35" s="66" t="str">
        <f aca="false">IF(V35="","",IF(F38&lt;G38,H38&amp;"_win",IF(F38&gt;G38,H38&amp;"_lose",H38&amp;"_draw")))</f>
        <v>Lengyelország_win</v>
      </c>
      <c r="X35" s="67" t="n">
        <f aca="false">IF(V35="",0,IF(VLOOKUP(E38,$AC$8:$AL$53,7,0)=VLOOKUP(H38,$AC$8:$AL$53,7,0),1,0))</f>
        <v>0</v>
      </c>
      <c r="Y35" s="65" t="n">
        <f aca="false">X35*F38</f>
        <v>0</v>
      </c>
      <c r="Z35" s="65" t="n">
        <f aca="false">X35*G38</f>
        <v>0</v>
      </c>
      <c r="AA35" s="0"/>
      <c r="AB35" s="65" t="n">
        <f aca="false">COUNTIF(AO32:AO35,CONCATENATE("&gt;=",AO35))</f>
        <v>4</v>
      </c>
      <c r="AC35" s="67" t="str">
        <f aca="false">INDEX(T,68,lang)</f>
        <v>Svédország</v>
      </c>
      <c r="AD35" s="65" t="n">
        <f aca="false">COUNTIF($V$7:$W$42,"=" &amp; AC35 &amp; "_win")</f>
        <v>0</v>
      </c>
      <c r="AE35" s="65" t="n">
        <f aca="false">COUNTIF($V$7:$W$42,"=" &amp; AC35 &amp; "_draw")</f>
        <v>1</v>
      </c>
      <c r="AF35" s="65" t="n">
        <f aca="false">COUNTIF($V$7:$W$42,"=" &amp; AC35 &amp; "_lose")</f>
        <v>2</v>
      </c>
      <c r="AG35" s="65" t="n">
        <f aca="false">SUMIF($E$10:$E$45,$AC35,$F$10:$F$45) + SUMIF($H$10:$H$45,$AC35,$G$10:$G$45)</f>
        <v>1</v>
      </c>
      <c r="AH35" s="65" t="n">
        <f aca="false">SUMIF($E$10:$E$45,$AC35,$G$10:$G$45) + SUMIF($H$10:$H$45,$AC35,$F$10:$F$45)</f>
        <v>3</v>
      </c>
      <c r="AI35" s="65" t="n">
        <f aca="false">AL35*10000</f>
        <v>10000</v>
      </c>
      <c r="AJ35" s="65" t="n">
        <f aca="false">AG35-AH35</f>
        <v>-2</v>
      </c>
      <c r="AK35" s="65" t="n">
        <f aca="false">(AJ35-AJ37)/AJ36</f>
        <v>0</v>
      </c>
      <c r="AL35" s="65" t="n">
        <f aca="false">AD35*3+AE35</f>
        <v>1</v>
      </c>
      <c r="AM35" s="65" t="n">
        <f aca="false">AQ35/AQ36*10+AR35/AR36+AU35/AU36*0.1+AS35/AS36*0.01</f>
        <v>0</v>
      </c>
      <c r="AN35" s="65" t="n">
        <f aca="false">VLOOKUP(AC35,db_fifarank,2,0)/2000000</f>
        <v>0.014514</v>
      </c>
      <c r="AO35" s="67" t="n">
        <f aca="false">10000000*AL35/AL36+100000*AM35/AM36+100*AK35+10*AG35/AG36+1*AM35/AM36+AN35</f>
        <v>1666669.18118067</v>
      </c>
      <c r="AP35" s="0"/>
      <c r="AQ35" s="69" t="n">
        <f aca="false">SUMPRODUCT(($V$7:$V$42=AC35&amp;"_win")*($X$7:$X$42))+SUMPRODUCT(($W$7:$W$42=AC35&amp;"_win")*($X$7:$X$42))</f>
        <v>0</v>
      </c>
      <c r="AR35" s="69" t="n">
        <f aca="false">SUMPRODUCT(($V$7:$V$42=AC35&amp;"_draw")*($X$7:$X$42))+SUMPRODUCT(($W$7:$W$42=AC35&amp;"_draw")*($X$7:$X$42))</f>
        <v>0</v>
      </c>
      <c r="AS35" s="69" t="n">
        <f aca="false">SUMPRODUCT(($E$10:$E$45=AC35)*($X$7:$X$42)*($F$10:$F$45))+SUMPRODUCT(($H$10:$H$45=AC35)*($X$7:$X$42)*($G$10:$G$45))</f>
        <v>0</v>
      </c>
      <c r="AT35" s="69" t="n">
        <f aca="false">SUMPRODUCT(($E$10:$E$45=AC35)*($X$7:$X$42)*($G$10:$G$45))+SUMPRODUCT(($H$10:$H$45=AC35)*($X$7:$X$42)*($F$10:$F$45))</f>
        <v>0</v>
      </c>
      <c r="AU35" s="69" t="n">
        <f aca="false">AS35-AT35</f>
        <v>0</v>
      </c>
      <c r="AZ35" s="96"/>
      <c r="BA35" s="109" t="str">
        <f aca="false">VLOOKUP(lookup_3rd, tbl_lookup_3rd,2,0)</f>
        <v>Ír Köztársaság</v>
      </c>
      <c r="BB35" s="110" t="n">
        <v>1</v>
      </c>
      <c r="BC35" s="111"/>
      <c r="BD35" s="112"/>
      <c r="BE35" s="78"/>
      <c r="BF35" s="78" t="str">
        <f aca="false">INDEX(T,24+MONTH(U60),lang) &amp; " " &amp; DAY(U60) &amp; ", " &amp; YEAR(U60) &amp; "   " &amp; TEXT(TIME(HOUR(U60),MINUTE(U60),0),"hh:mm")</f>
        <v>Júl 3, 2016   01:00</v>
      </c>
      <c r="BG35" s="78"/>
      <c r="BH35" s="78"/>
      <c r="BI35" s="113"/>
      <c r="BJ35" s="117"/>
      <c r="BK35" s="78"/>
      <c r="BL35" s="78"/>
      <c r="BM35" s="78"/>
      <c r="BN35" s="78"/>
      <c r="BO35" s="78"/>
      <c r="BP35" s="78"/>
      <c r="BQ35" s="78"/>
      <c r="BR35" s="0"/>
      <c r="BS35" s="0"/>
      <c r="BT35" s="0"/>
      <c r="BU35" s="0"/>
    </row>
    <row r="36" customFormat="false" ht="12.75" hidden="false" customHeight="false" outlineLevel="0" collapsed="false">
      <c r="A36" s="100" t="n">
        <v>27</v>
      </c>
      <c r="B36" s="101" t="str">
        <f aca="false">INDEX(T,18+INT(MOD(U33-1,7)),lang)</f>
        <v>Hét</v>
      </c>
      <c r="C36" s="102" t="str">
        <f aca="false">INDEX(T,24+MONTH(U33),lang) &amp; " " &amp; DAY(U33) &amp; ", " &amp; YEAR(U33)</f>
        <v>Jún 20, 2016</v>
      </c>
      <c r="D36" s="103" t="n">
        <f aca="false">TIME(HOUR(U33),MINUTE(U33),0)</f>
        <v>0.875</v>
      </c>
      <c r="E36" s="104" t="str">
        <f aca="false">AC16</f>
        <v>Oroszország</v>
      </c>
      <c r="F36" s="105" t="n">
        <v>0</v>
      </c>
      <c r="G36" s="106" t="n">
        <v>3</v>
      </c>
      <c r="H36" s="107" t="str">
        <f aca="false">AC15</f>
        <v>Wales</v>
      </c>
      <c r="I36" s="108" t="n">
        <f aca="false">INDEX(T,108,lang)</f>
        <v>0</v>
      </c>
      <c r="J36" s="108"/>
      <c r="K36" s="108"/>
      <c r="L36" s="0"/>
      <c r="M36" s="114" t="str">
        <f aca="false">VLOOKUP(4,AB32:AL35,2,0)</f>
        <v>Svédország</v>
      </c>
      <c r="N36" s="115" t="n">
        <f aca="false">O36+P36+Q36</f>
        <v>3</v>
      </c>
      <c r="O36" s="115" t="n">
        <f aca="false">VLOOKUP(4,AB32:AL35,3,0)</f>
        <v>0</v>
      </c>
      <c r="P36" s="115" t="n">
        <f aca="false">VLOOKUP(4,AB32:AL35,4,0)</f>
        <v>1</v>
      </c>
      <c r="Q36" s="115" t="n">
        <f aca="false">VLOOKUP(4,AB32:AL35,5,0)</f>
        <v>2</v>
      </c>
      <c r="R36" s="115" t="str">
        <f aca="false">VLOOKUP(4,AB32:AL35,6,0) &amp; " - " &amp; VLOOKUP(4,AB32:AL35,7,0)</f>
        <v>1 - 3</v>
      </c>
      <c r="S36" s="116" t="n">
        <f aca="false">O36*3+P36</f>
        <v>1</v>
      </c>
      <c r="U36" s="65" t="n">
        <f aca="false">DATE(2016,6,21)+TIME(5,0,0)+gmt_delta</f>
        <v>42542.75</v>
      </c>
      <c r="V36" s="66" t="str">
        <f aca="false">IF(OR(F39="",G39=""),"",IF(F39&gt;G39,E39&amp;"_win",IF(F39&lt;G39,E39&amp;"_lose",E39&amp;"_draw")))</f>
        <v>Észak-Írország_lose</v>
      </c>
      <c r="W36" s="66" t="str">
        <f aca="false">IF(V36="","",IF(F39&lt;G39,H39&amp;"_win",IF(F39&gt;G39,H39&amp;"_lose",H39&amp;"_draw")))</f>
        <v>Németország_win</v>
      </c>
      <c r="X36" s="67" t="n">
        <f aca="false">IF(V36="",0,IF(VLOOKUP(E39,$AC$8:$AL$53,7,0)=VLOOKUP(H39,$AC$8:$AL$53,7,0),1,0))</f>
        <v>0</v>
      </c>
      <c r="Y36" s="65" t="n">
        <f aca="false">X36*F39</f>
        <v>0</v>
      </c>
      <c r="Z36" s="65" t="n">
        <f aca="false">X36*G39</f>
        <v>0</v>
      </c>
      <c r="AA36" s="0"/>
      <c r="AB36" s="0"/>
      <c r="AC36" s="0"/>
      <c r="AD36" s="65" t="n">
        <f aca="false">MAX(AD32:AD35)-MIN(AD32:AD35)+1</f>
        <v>3</v>
      </c>
      <c r="AE36" s="65" t="n">
        <f aca="false">MAX(AE32:AE35)-MIN(AE32:AE35)+1</f>
        <v>2</v>
      </c>
      <c r="AF36" s="65" t="n">
        <f aca="false">MAX(AF32:AF35)-MIN(AF32:AF35)+1</f>
        <v>2</v>
      </c>
      <c r="AG36" s="65" t="n">
        <f aca="false">MAX(AG32:AG35)-MIN(AG32:AG35)+1</f>
        <v>4</v>
      </c>
      <c r="AH36" s="65" t="n">
        <f aca="false">MAX(AH32:AH35)-MIN(AH32:AH35)+1</f>
        <v>4</v>
      </c>
      <c r="AI36" s="65" t="n">
        <f aca="false">MAX(AI32:AI35)-AI37+1</f>
        <v>50001</v>
      </c>
      <c r="AJ36" s="65" t="n">
        <f aca="false">MAX(AJ32:AJ35)-AJ37+1</f>
        <v>5</v>
      </c>
      <c r="AK36" s="0"/>
      <c r="AL36" s="65" t="n">
        <f aca="false">MAX(AL32:AL35)-MIN(AL32:AL35)+1</f>
        <v>6</v>
      </c>
      <c r="AM36" s="65" t="n">
        <f aca="false">MAX(AM32:AM35)-MIN(AM32:AM35)+1</f>
        <v>6.08666666666667</v>
      </c>
      <c r="AN36" s="0"/>
      <c r="AO36" s="0"/>
      <c r="AP36" s="0"/>
      <c r="AQ36" s="65" t="n">
        <f aca="false">MAX(AQ32:AQ35)-MIN(AQ32:AQ35)+1</f>
        <v>2</v>
      </c>
      <c r="AR36" s="65" t="n">
        <f aca="false">MAX(AR32:AR35)-MIN(AR32:AR35)+1</f>
        <v>1</v>
      </c>
      <c r="AS36" s="65" t="n">
        <f aca="false">MAX(AS32:AS35)-MIN(AS32:AS35)+1</f>
        <v>3</v>
      </c>
      <c r="AT36" s="65" t="n">
        <f aca="false">MAX(AT32:AT35)-MIN(AT32:AT35)+1</f>
        <v>3</v>
      </c>
      <c r="AU36" s="65" t="n">
        <f aca="false">MAX(AU32:AU35)-MIN(AU32:AU35)+1</f>
        <v>5</v>
      </c>
      <c r="AZ36" s="82"/>
      <c r="BA36" s="78"/>
      <c r="BB36" s="78"/>
      <c r="BC36" s="78"/>
      <c r="BD36" s="117"/>
      <c r="BE36" s="78"/>
      <c r="BF36" s="118" t="n">
        <v>48</v>
      </c>
      <c r="BG36" s="97" t="str">
        <f aca="false">W52</f>
        <v>Franciaország</v>
      </c>
      <c r="BH36" s="98" t="n">
        <v>5</v>
      </c>
      <c r="BI36" s="99"/>
      <c r="BJ36" s="122"/>
      <c r="BK36" s="78"/>
      <c r="BL36" s="78"/>
      <c r="BM36" s="78"/>
      <c r="BN36" s="78"/>
      <c r="BO36" s="78"/>
      <c r="BP36" s="78"/>
      <c r="BQ36" s="78"/>
      <c r="BR36" s="0"/>
      <c r="BS36" s="0"/>
      <c r="BT36" s="0"/>
      <c r="BU36" s="0"/>
    </row>
    <row r="37" customFormat="false" ht="12.75" hidden="false" customHeight="false" outlineLevel="0" collapsed="false">
      <c r="A37" s="100" t="n">
        <v>28</v>
      </c>
      <c r="B37" s="101" t="str">
        <f aca="false">INDEX(T,18+INT(MOD(U34-1,7)),lang)</f>
        <v>Hét</v>
      </c>
      <c r="C37" s="102" t="str">
        <f aca="false">INDEX(T,24+MONTH(U34),lang) &amp; " " &amp; DAY(U34) &amp; ", " &amp; YEAR(U34)</f>
        <v>Jún 20, 2016</v>
      </c>
      <c r="D37" s="103" t="n">
        <f aca="false">TIME(HOUR(U34),MINUTE(U34),0)</f>
        <v>0.875</v>
      </c>
      <c r="E37" s="104" t="str">
        <f aca="false">AC17</f>
        <v>Szlovákia</v>
      </c>
      <c r="F37" s="105" t="n">
        <v>0</v>
      </c>
      <c r="G37" s="106" t="n">
        <v>0</v>
      </c>
      <c r="H37" s="107" t="str">
        <f aca="false">AC14</f>
        <v>Anglia</v>
      </c>
      <c r="I37" s="108" t="n">
        <f aca="false">INDEX(T,112,lang)</f>
        <v>0</v>
      </c>
      <c r="J37" s="108"/>
      <c r="K37" s="108"/>
      <c r="L37" s="0"/>
      <c r="M37" s="0"/>
      <c r="N37" s="0"/>
      <c r="O37" s="0"/>
      <c r="P37" s="0"/>
      <c r="Q37" s="0"/>
      <c r="R37" s="0"/>
      <c r="S37" s="0"/>
      <c r="U37" s="65" t="n">
        <f aca="false">DATE(2016,6,21)+TIME(8,0,0)+gmt_delta</f>
        <v>42542.875</v>
      </c>
      <c r="V37" s="66" t="str">
        <f aca="false">IF(OR(F40="",G40=""),"",IF(F40&gt;G40,E40&amp;"_win",IF(F40&lt;G40,E40&amp;"_lose",E40&amp;"_draw")))</f>
        <v>Cseh Köztársaság_lose</v>
      </c>
      <c r="W37" s="66" t="str">
        <f aca="false">IF(V37="","",IF(F40&lt;G40,H40&amp;"_win",IF(F40&gt;G40,H40&amp;"_lose",H40&amp;"_draw")))</f>
        <v>Törökország_win</v>
      </c>
      <c r="X37" s="67" t="n">
        <f aca="false">IF(V37="",0,IF(VLOOKUP(E40,$AC$8:$AL$53,7,0)=VLOOKUP(H40,$AC$8:$AL$53,7,0),1,0))</f>
        <v>0</v>
      </c>
      <c r="Y37" s="65" t="n">
        <f aca="false">X37*F40</f>
        <v>0</v>
      </c>
      <c r="Z37" s="65" t="n">
        <f aca="false">X37*G40</f>
        <v>0</v>
      </c>
      <c r="AA37" s="0"/>
      <c r="AB37" s="0"/>
      <c r="AC37" s="0"/>
      <c r="AD37" s="0"/>
      <c r="AE37" s="0"/>
      <c r="AF37" s="0"/>
      <c r="AG37" s="0"/>
      <c r="AH37" s="0"/>
      <c r="AI37" s="65" t="n">
        <f aca="false">MIN(AI32:AI35)</f>
        <v>10000</v>
      </c>
      <c r="AJ37" s="65" t="n">
        <f aca="false">MIN(AJ32:AJ35)</f>
        <v>-2</v>
      </c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Z37" s="82" t="str">
        <f aca="false">INDEX(T,24+MONTH(U53),lang) &amp; " " &amp; DAY(U53) &amp; ", " &amp; YEAR(U53) &amp; "   " &amp; TEXT(TIME(HOUR(U53),MINUTE(U53),0),"hh:mm")</f>
        <v>Jún 27, 2016   01:00</v>
      </c>
      <c r="BA37" s="78"/>
      <c r="BB37" s="78"/>
      <c r="BC37" s="113"/>
      <c r="BD37" s="117"/>
      <c r="BE37" s="121"/>
      <c r="BF37" s="118"/>
      <c r="BG37" s="109" t="str">
        <f aca="false">W53</f>
        <v>Izland</v>
      </c>
      <c r="BH37" s="110" t="n">
        <v>2</v>
      </c>
      <c r="BI37" s="111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</row>
    <row r="38" customFormat="false" ht="12.8" hidden="false" customHeight="false" outlineLevel="0" collapsed="false">
      <c r="A38" s="100" t="n">
        <v>29</v>
      </c>
      <c r="B38" s="101" t="str">
        <f aca="false">INDEX(T,18+INT(MOD(U35-1,7)),lang)</f>
        <v>Ke</v>
      </c>
      <c r="C38" s="102" t="str">
        <f aca="false">INDEX(T,24+MONTH(U35),lang) &amp; " " &amp; DAY(U35) &amp; ", " &amp; YEAR(U35)</f>
        <v>Jún 21, 2016</v>
      </c>
      <c r="D38" s="103" t="n">
        <f aca="false">TIME(HOUR(U35),MINUTE(U35),0)</f>
        <v>0.75</v>
      </c>
      <c r="E38" s="104" t="str">
        <f aca="false">AC21</f>
        <v>Ukrajna</v>
      </c>
      <c r="F38" s="105" t="n">
        <v>0</v>
      </c>
      <c r="G38" s="106" t="n">
        <v>1</v>
      </c>
      <c r="H38" s="107" t="str">
        <f aca="false">AC22</f>
        <v>Lengyelország</v>
      </c>
      <c r="I38" s="108" t="n">
        <f aca="false">INDEX(T,106,lang)</f>
        <v>0</v>
      </c>
      <c r="J38" s="108"/>
      <c r="K38" s="108"/>
      <c r="L38" s="0"/>
      <c r="M38" s="76" t="str">
        <f aca="false">INDEX(T,9,lang) &amp; " " &amp; "F"</f>
        <v>Csoport F</v>
      </c>
      <c r="N38" s="77" t="str">
        <f aca="false">INDEX(T,10,lang)</f>
        <v>M</v>
      </c>
      <c r="O38" s="77" t="str">
        <f aca="false">INDEX(T,11,lang)</f>
        <v>GY</v>
      </c>
      <c r="P38" s="77" t="str">
        <f aca="false">INDEX(T,12,lang)</f>
        <v>D</v>
      </c>
      <c r="Q38" s="77" t="str">
        <f aca="false">INDEX(T,13,lang)</f>
        <v>V</v>
      </c>
      <c r="R38" s="77" t="str">
        <f aca="false">INDEX(T,14,lang)</f>
        <v>Gólkül.</v>
      </c>
      <c r="S38" s="77" t="str">
        <f aca="false">INDEX(T,15,lang)</f>
        <v>PNT</v>
      </c>
      <c r="U38" s="65" t="n">
        <f aca="false">DATE(2016,6,21)+TIME(8,0,0)+gmt_delta</f>
        <v>42542.875</v>
      </c>
      <c r="V38" s="66" t="str">
        <f aca="false">IF(OR(F41="",G41=""),"",IF(F41&gt;G41,E41&amp;"_win",IF(F41&lt;G41,E41&amp;"_lose",E41&amp;"_draw")))</f>
        <v>Horvátország_win</v>
      </c>
      <c r="W38" s="66" t="str">
        <f aca="false">IF(V38="","",IF(F41&lt;G41,H41&amp;"_win",IF(F41&gt;G41,H41&amp;"_lose",H41&amp;"_draw")))</f>
        <v>Spanyolország_lose</v>
      </c>
      <c r="X38" s="67" t="n">
        <f aca="false">IF(V38="",0,IF(VLOOKUP(E41,$AC$8:$AL$53,7,0)=VLOOKUP(H41,$AC$8:$AL$53,7,0),1,0))</f>
        <v>0</v>
      </c>
      <c r="Y38" s="65" t="n">
        <f aca="false">X38*F41</f>
        <v>0</v>
      </c>
      <c r="Z38" s="65" t="n">
        <f aca="false">X38*G41</f>
        <v>0</v>
      </c>
      <c r="AA38" s="0"/>
      <c r="AB38" s="65" t="n">
        <f aca="false">COUNTIF(AO38:AO41,CONCATENATE("&gt;=",AO38))</f>
        <v>3</v>
      </c>
      <c r="AC38" s="67" t="str">
        <f aca="false">INDEX(T,42,lang)</f>
        <v>Portugália</v>
      </c>
      <c r="AD38" s="65" t="n">
        <f aca="false">COUNTIF($V$7:$W$42,"=" &amp; AC38 &amp; "_win")</f>
        <v>0</v>
      </c>
      <c r="AE38" s="65" t="n">
        <f aca="false">COUNTIF($V$7:$W$42,"=" &amp; AC38 &amp; "_draw")</f>
        <v>3</v>
      </c>
      <c r="AF38" s="65" t="n">
        <f aca="false">COUNTIF($V$7:$W$42,"=" &amp; AC38 &amp; "_lose")</f>
        <v>0</v>
      </c>
      <c r="AG38" s="65" t="n">
        <f aca="false">SUMIF($E$10:$E$45,$AC38,$F$10:$F$45) + SUMIF($H$10:$H$45,$AC38,$G$10:$G$45)</f>
        <v>4</v>
      </c>
      <c r="AH38" s="65" t="n">
        <f aca="false">SUMIF($E$10:$E$45,$AC38,$G$10:$G$45) + SUMIF($H$10:$H$45,$AC38,$F$10:$F$45)</f>
        <v>4</v>
      </c>
      <c r="AI38" s="65" t="n">
        <f aca="false">AL38*10000</f>
        <v>30000</v>
      </c>
      <c r="AJ38" s="65" t="n">
        <f aca="false">AG38-AH38</f>
        <v>0</v>
      </c>
      <c r="AK38" s="65" t="n">
        <f aca="false">(AJ38-AJ43)/AJ42</f>
        <v>0.5</v>
      </c>
      <c r="AL38" s="65" t="n">
        <f aca="false">AD38*3+AE38</f>
        <v>3</v>
      </c>
      <c r="AM38" s="65" t="n">
        <f aca="false">AQ38/AQ42*10+AR38/AR42+AU38/AU42*0.1+AS38/AS42*0.01</f>
        <v>0</v>
      </c>
      <c r="AN38" s="65" t="n">
        <f aca="false">VLOOKUP(AC38,db_fifarank,2,0)/2000000</f>
        <v>0.017569</v>
      </c>
      <c r="AO38" s="67" t="n">
        <f aca="false">10000000*AL38/AL42+100000*AM38/AM42+100*AK38+10*AG38/AG42+1*AM38/AM42+AN38</f>
        <v>6000056.68423567</v>
      </c>
      <c r="AP38" s="68" t="str">
        <f aca="false">IF(SUM(AD38:AF41)=12,M39,INDEX(T,80,lang))</f>
        <v>Magyarország</v>
      </c>
      <c r="AQ38" s="69" t="n">
        <f aca="false">SUMPRODUCT(($V$7:$V$42=AC38&amp;"_win")*($X$7:$X$42))+SUMPRODUCT(($W$7:$W$42=AC38&amp;"_win")*($X$7:$X$42))</f>
        <v>0</v>
      </c>
      <c r="AR38" s="69" t="n">
        <f aca="false">SUMPRODUCT(($V$7:$V$42=AC38&amp;"_draw")*($X$7:$X$42))+SUMPRODUCT(($W$7:$W$42=AC38&amp;"_draw")*($X$7:$X$42))</f>
        <v>0</v>
      </c>
      <c r="AS38" s="69" t="n">
        <f aca="false">SUMPRODUCT(($E$10:$E$45=AC38)*($X$7:$X$42)*($F$10:$F$45))+SUMPRODUCT(($H$10:$H$45=AC38)*($X$7:$X$42)*($G$10:$G$45))</f>
        <v>0</v>
      </c>
      <c r="AT38" s="69" t="n">
        <f aca="false">SUMPRODUCT(($E$10:$E$45=AC38)*($X$7:$X$42)*($G$10:$G$45))+SUMPRODUCT(($H$10:$H$45=AC38)*($X$7:$X$42)*($F$10:$F$45))</f>
        <v>0</v>
      </c>
      <c r="AU38" s="69" t="n">
        <f aca="false">AS38-AT38</f>
        <v>0</v>
      </c>
      <c r="AZ38" s="96" t="n">
        <v>44</v>
      </c>
      <c r="BA38" s="97" t="str">
        <f aca="false">AP15</f>
        <v>Anglia</v>
      </c>
      <c r="BB38" s="98" t="n">
        <v>1</v>
      </c>
      <c r="BC38" s="99"/>
      <c r="BD38" s="122"/>
      <c r="BE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</row>
    <row r="39" customFormat="false" ht="12.8" hidden="false" customHeight="false" outlineLevel="0" collapsed="false">
      <c r="A39" s="100" t="n">
        <v>30</v>
      </c>
      <c r="B39" s="101" t="str">
        <f aca="false">INDEX(T,18+INT(MOD(U36-1,7)),lang)</f>
        <v>Ke</v>
      </c>
      <c r="C39" s="102" t="str">
        <f aca="false">INDEX(T,24+MONTH(U36),lang) &amp; " " &amp; DAY(U36) &amp; ", " &amp; YEAR(U36)</f>
        <v>Jún 21, 2016</v>
      </c>
      <c r="D39" s="103" t="n">
        <f aca="false">TIME(HOUR(U36),MINUTE(U36),0)</f>
        <v>0.75</v>
      </c>
      <c r="E39" s="104" t="str">
        <f aca="false">AC23</f>
        <v>Észak-Írország</v>
      </c>
      <c r="F39" s="105" t="n">
        <v>0</v>
      </c>
      <c r="G39" s="106" t="n">
        <v>1</v>
      </c>
      <c r="H39" s="107" t="str">
        <f aca="false">AC20</f>
        <v>Németország</v>
      </c>
      <c r="I39" s="108" t="n">
        <f aca="false">INDEX(T,107,lang)</f>
        <v>0</v>
      </c>
      <c r="J39" s="108"/>
      <c r="K39" s="108"/>
      <c r="L39" s="0"/>
      <c r="M39" s="79" t="str">
        <f aca="false">VLOOKUP(1,AB38:AL41,2,0)</f>
        <v>Magyarország</v>
      </c>
      <c r="N39" s="80" t="n">
        <f aca="false">O39+P39+Q39</f>
        <v>3</v>
      </c>
      <c r="O39" s="80" t="n">
        <f aca="false">VLOOKUP(1,AB38:AL41,3,0)</f>
        <v>1</v>
      </c>
      <c r="P39" s="80" t="n">
        <f aca="false">VLOOKUP(1,AB38:AL41,4,0)</f>
        <v>2</v>
      </c>
      <c r="Q39" s="80" t="n">
        <f aca="false">VLOOKUP(1,AB38:AL41,5,0)</f>
        <v>0</v>
      </c>
      <c r="R39" s="80" t="str">
        <f aca="false">VLOOKUP(1,AB38:AL41,6,0) &amp; " - " &amp; VLOOKUP(1,AB38:AL41,7,0)</f>
        <v>6 - 4</v>
      </c>
      <c r="S39" s="81" t="n">
        <f aca="false">O39*3+P39</f>
        <v>5</v>
      </c>
      <c r="U39" s="65" t="n">
        <f aca="false">DATE(2016,6,22)+TIME(5,0,0)+gmt_delta</f>
        <v>42543.75</v>
      </c>
      <c r="V39" s="66" t="str">
        <f aca="false">IF(OR(F42="",G42=""),"",IF(F42&gt;G42,E42&amp;"_win",IF(F42&lt;G42,E42&amp;"_lose",E42&amp;"_draw")))</f>
        <v>Izland_win</v>
      </c>
      <c r="W39" s="66" t="str">
        <f aca="false">IF(V39="","",IF(F42&lt;G42,H42&amp;"_win",IF(F42&gt;G42,H42&amp;"_lose",H42&amp;"_draw")))</f>
        <v>Ausztria_lose</v>
      </c>
      <c r="X39" s="67" t="n">
        <f aca="false">IF(V39="",0,IF(VLOOKUP(E42,$AC$8:$AL$53,7,0)=VLOOKUP(H42,$AC$8:$AL$53,7,0),1,0))</f>
        <v>0</v>
      </c>
      <c r="Y39" s="65" t="n">
        <f aca="false">X39*F42</f>
        <v>0</v>
      </c>
      <c r="Z39" s="65" t="n">
        <f aca="false">X39*G42</f>
        <v>0</v>
      </c>
      <c r="AA39" s="0"/>
      <c r="AB39" s="65" t="n">
        <f aca="false">COUNTIF(AO38:AO41,CONCATENATE("&gt;=",AO39))</f>
        <v>2</v>
      </c>
      <c r="AC39" s="67" t="str">
        <f aca="false">INDEX(T,60,lang)</f>
        <v>Izland</v>
      </c>
      <c r="AD39" s="65" t="n">
        <f aca="false">COUNTIF($V$7:$W$42,"=" &amp; AC39 &amp; "_win")</f>
        <v>1</v>
      </c>
      <c r="AE39" s="65" t="n">
        <f aca="false">COUNTIF($V$7:$W$42,"=" &amp; AC39 &amp; "_draw")</f>
        <v>2</v>
      </c>
      <c r="AF39" s="65" t="n">
        <f aca="false">COUNTIF($V$7:$W$42,"=" &amp; AC39 &amp; "_lose")</f>
        <v>0</v>
      </c>
      <c r="AG39" s="65" t="n">
        <f aca="false">SUMIF($E$10:$E$45,$AC39,$F$10:$F$45) + SUMIF($H$10:$H$45,$AC39,$G$10:$G$45)</f>
        <v>4</v>
      </c>
      <c r="AH39" s="65" t="n">
        <f aca="false">SUMIF($E$10:$E$45,$AC39,$G$10:$G$45) + SUMIF($H$10:$H$45,$AC39,$F$10:$F$45)</f>
        <v>3</v>
      </c>
      <c r="AI39" s="65" t="n">
        <f aca="false">AL39*10000</f>
        <v>50000</v>
      </c>
      <c r="AJ39" s="65" t="n">
        <f aca="false">AG39-AH39</f>
        <v>1</v>
      </c>
      <c r="AK39" s="65" t="n">
        <f aca="false">(AJ39-AJ43)/AJ42</f>
        <v>0.666666666666667</v>
      </c>
      <c r="AL39" s="65" t="n">
        <f aca="false">AD39*3+AE39</f>
        <v>5</v>
      </c>
      <c r="AM39" s="65" t="n">
        <f aca="false">AQ39/AQ42*10+AR39/AR42+AU39/AU42*0.1+AS39/AS42*0.01</f>
        <v>0.505</v>
      </c>
      <c r="AN39" s="65" t="n">
        <f aca="false">VLOOKUP(AC39,db_fifarank,2,0)/2000000</f>
        <v>0.012694</v>
      </c>
      <c r="AO39" s="67" t="n">
        <f aca="false">10000000*AL39/AL42+100000*AM39/AM42+100*AK39+10*AG39/AG42+1*AM39/AM42+AN39</f>
        <v>10033628.4988513</v>
      </c>
      <c r="AP39" s="68" t="str">
        <f aca="false">IF(SUM(AD38:AF41)=12,M40,INDEX(T,81,lang))</f>
        <v>Izland</v>
      </c>
      <c r="AQ39" s="69" t="n">
        <f aca="false">SUMPRODUCT(($V$7:$V$42=AC39&amp;"_win")*($X$7:$X$42))+SUMPRODUCT(($W$7:$W$42=AC39&amp;"_win")*($X$7:$X$42))</f>
        <v>0</v>
      </c>
      <c r="AR39" s="69" t="n">
        <f aca="false">SUMPRODUCT(($V$7:$V$42=AC39&amp;"_draw")*($X$7:$X$42))+SUMPRODUCT(($W$7:$W$42=AC39&amp;"_draw")*($X$7:$X$42))</f>
        <v>1</v>
      </c>
      <c r="AS39" s="69" t="n">
        <f aca="false">SUMPRODUCT(($E$10:$E$45=AC39)*($X$7:$X$42)*($F$10:$F$45))+SUMPRODUCT(($H$10:$H$45=AC39)*($X$7:$X$42)*($G$10:$G$45))</f>
        <v>1</v>
      </c>
      <c r="AT39" s="69" t="n">
        <f aca="false">SUMPRODUCT(($E$10:$E$45=AC39)*($X$7:$X$42)*($G$10:$G$45))+SUMPRODUCT(($H$10:$H$45=AC39)*($X$7:$X$42)*($F$10:$F$45))</f>
        <v>1</v>
      </c>
      <c r="AU39" s="69" t="n">
        <f aca="false">AS39-AT39</f>
        <v>0</v>
      </c>
      <c r="AZ39" s="96"/>
      <c r="BA39" s="109" t="str">
        <f aca="false">AP39</f>
        <v>Izland</v>
      </c>
      <c r="BB39" s="110" t="n">
        <v>2</v>
      </c>
      <c r="BC39" s="111"/>
      <c r="BD39" s="78"/>
      <c r="BE39" s="78"/>
      <c r="BK39" s="0"/>
      <c r="BL39" s="78"/>
      <c r="BM39" s="78"/>
      <c r="BN39" s="78"/>
      <c r="BO39" s="78"/>
      <c r="BP39" s="78"/>
      <c r="BQ39" s="78"/>
      <c r="BR39" s="78"/>
      <c r="BS39" s="78"/>
      <c r="BT39" s="78"/>
      <c r="BU39" s="78"/>
    </row>
    <row r="40" customFormat="false" ht="13.5" hidden="false" customHeight="false" outlineLevel="0" collapsed="false">
      <c r="A40" s="100" t="n">
        <v>31</v>
      </c>
      <c r="B40" s="101" t="str">
        <f aca="false">INDEX(T,18+INT(MOD(U37-1,7)),lang)</f>
        <v>Ke</v>
      </c>
      <c r="C40" s="102" t="str">
        <f aca="false">INDEX(T,24+MONTH(U37),lang) &amp; " " &amp; DAY(U37) &amp; ", " &amp; YEAR(U37)</f>
        <v>Jún 21, 2016</v>
      </c>
      <c r="D40" s="103" t="n">
        <f aca="false">TIME(HOUR(U37),MINUTE(U37),0)</f>
        <v>0.875</v>
      </c>
      <c r="E40" s="104" t="str">
        <f aca="false">AC29</f>
        <v>Cseh Köztársaság</v>
      </c>
      <c r="F40" s="105" t="n">
        <v>0</v>
      </c>
      <c r="G40" s="106" t="n">
        <v>2</v>
      </c>
      <c r="H40" s="107" t="str">
        <f aca="false">AC28</f>
        <v>Törökország</v>
      </c>
      <c r="I40" s="108" t="n">
        <f aca="false">INDEX(T,109,lang)</f>
        <v>0</v>
      </c>
      <c r="J40" s="108"/>
      <c r="K40" s="108"/>
      <c r="L40" s="0"/>
      <c r="M40" s="93" t="str">
        <f aca="false">VLOOKUP(2,AB38:AL41,2,0)</f>
        <v>Izland</v>
      </c>
      <c r="N40" s="94" t="n">
        <f aca="false">O40+P40+Q40</f>
        <v>3</v>
      </c>
      <c r="O40" s="94" t="n">
        <f aca="false">VLOOKUP(2,AB38:AL41,3,0)</f>
        <v>1</v>
      </c>
      <c r="P40" s="94" t="n">
        <f aca="false">VLOOKUP(2,AB38:AL41,4,0)</f>
        <v>2</v>
      </c>
      <c r="Q40" s="94" t="n">
        <f aca="false">VLOOKUP(2,AB38:AL41,5,0)</f>
        <v>0</v>
      </c>
      <c r="R40" s="94" t="str">
        <f aca="false">VLOOKUP(2,AB38:AL41,6,0) &amp; " - " &amp; VLOOKUP(2,AB38:AL41,7,0)</f>
        <v>4 - 3</v>
      </c>
      <c r="S40" s="95" t="n">
        <f aca="false">O40*3+P40</f>
        <v>5</v>
      </c>
      <c r="U40" s="65" t="n">
        <f aca="false">DATE(2016,6,22)+TIME(5,0,0)+gmt_delta</f>
        <v>42543.75</v>
      </c>
      <c r="V40" s="66" t="str">
        <f aca="false">IF(OR(F43="",G43=""),"",IF(F43&gt;G43,E43&amp;"_win",IF(F43&lt;G43,E43&amp;"_lose",E43&amp;"_draw")))</f>
        <v>Magyarország_draw</v>
      </c>
      <c r="W40" s="66" t="str">
        <f aca="false">IF(V40="","",IF(F43&lt;G43,H43&amp;"_win",IF(F43&gt;G43,H43&amp;"_lose",H43&amp;"_draw")))</f>
        <v>Portugália_draw</v>
      </c>
      <c r="X40" s="67" t="n">
        <f aca="false">IF(V40="",0,IF(VLOOKUP(E43,$AC$8:$AL$53,7,0)=VLOOKUP(H43,$AC$8:$AL$53,7,0),1,0))</f>
        <v>0</v>
      </c>
      <c r="Y40" s="65" t="n">
        <f aca="false">X40*F43</f>
        <v>0</v>
      </c>
      <c r="Z40" s="65" t="n">
        <f aca="false">X40*G43</f>
        <v>0</v>
      </c>
      <c r="AA40" s="0"/>
      <c r="AB40" s="65" t="n">
        <f aca="false">COUNTIF(AO38:AO41,CONCATENATE("&gt;=",AO40))</f>
        <v>4</v>
      </c>
      <c r="AC40" s="67" t="str">
        <f aca="false">INDEX(T,61,lang)</f>
        <v>Ausztria</v>
      </c>
      <c r="AD40" s="65" t="n">
        <f aca="false">COUNTIF($V$7:$W$42,"=" &amp; AC40 &amp; "_win")</f>
        <v>0</v>
      </c>
      <c r="AE40" s="65" t="n">
        <f aca="false">COUNTIF($V$7:$W$42,"=" &amp; AC40 &amp; "_draw")</f>
        <v>1</v>
      </c>
      <c r="AF40" s="65" t="n">
        <f aca="false">COUNTIF($V$7:$W$42,"=" &amp; AC40 &amp; "_lose")</f>
        <v>2</v>
      </c>
      <c r="AG40" s="65" t="n">
        <f aca="false">SUMIF($E$10:$E$45,$AC40,$F$10:$F$45) + SUMIF($H$10:$H$45,$AC40,$G$10:$G$45)</f>
        <v>1</v>
      </c>
      <c r="AH40" s="65" t="n">
        <f aca="false">SUMIF($E$10:$E$45,$AC40,$G$10:$G$45) + SUMIF($H$10:$H$45,$AC40,$F$10:$F$45)</f>
        <v>4</v>
      </c>
      <c r="AI40" s="65" t="n">
        <f aca="false">AL40*10000</f>
        <v>10000</v>
      </c>
      <c r="AJ40" s="65" t="n">
        <f aca="false">AG40-AH40</f>
        <v>-3</v>
      </c>
      <c r="AK40" s="65" t="n">
        <f aca="false">(AJ40-AJ43)/AJ42</f>
        <v>0</v>
      </c>
      <c r="AL40" s="65" t="n">
        <f aca="false">AD40*3+AE40</f>
        <v>1</v>
      </c>
      <c r="AM40" s="65" t="n">
        <f aca="false">AQ40/AQ42*10+AR40/AR42+AU40/AU42*0.1+AS40/AS42*0.01</f>
        <v>0</v>
      </c>
      <c r="AN40" s="65" t="n">
        <f aca="false">VLOOKUP(AC40,db_fifarank,2,0)/2000000</f>
        <v>0.015466</v>
      </c>
      <c r="AO40" s="67" t="n">
        <f aca="false">10000000*AL40/AL42+100000*AM40/AM42+100*AK40+10*AG40/AG42+1*AM40/AM42+AN40</f>
        <v>2000001.68213267</v>
      </c>
      <c r="AP40" s="68" t="str">
        <f aca="false">IF(SUM(AD38:AF41)&gt;0,M41,"3F")</f>
        <v>Portugália</v>
      </c>
      <c r="AQ40" s="69" t="n">
        <f aca="false">SUMPRODUCT(($V$7:$V$42=AC40&amp;"_win")*($X$7:$X$42))+SUMPRODUCT(($W$7:$W$42=AC40&amp;"_win")*($X$7:$X$42))</f>
        <v>0</v>
      </c>
      <c r="AR40" s="69" t="n">
        <f aca="false">SUMPRODUCT(($V$7:$V$42=AC40&amp;"_draw")*($X$7:$X$42))+SUMPRODUCT(($W$7:$W$42=AC40&amp;"_draw")*($X$7:$X$42))</f>
        <v>0</v>
      </c>
      <c r="AS40" s="69" t="n">
        <f aca="false">SUMPRODUCT(($E$10:$E$45=AC40)*($X$7:$X$42)*($F$10:$F$45))+SUMPRODUCT(($H$10:$H$45=AC40)*($X$7:$X$42)*($G$10:$G$45))</f>
        <v>0</v>
      </c>
      <c r="AT40" s="69" t="n">
        <f aca="false">SUMPRODUCT(($E$10:$E$45=AC40)*($X$7:$X$42)*($G$10:$G$45))+SUMPRODUCT(($H$10:$H$45=AC40)*($X$7:$X$42)*($F$10:$F$45))</f>
        <v>0</v>
      </c>
      <c r="AU40" s="69" t="n">
        <f aca="false">AS40-AT40</f>
        <v>0</v>
      </c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</row>
    <row r="41" customFormat="false" ht="12.75" hidden="false" customHeight="false" outlineLevel="0" collapsed="false">
      <c r="A41" s="100" t="n">
        <v>32</v>
      </c>
      <c r="B41" s="101" t="str">
        <f aca="false">INDEX(T,18+INT(MOD(U38-1,7)),lang)</f>
        <v>Ke</v>
      </c>
      <c r="C41" s="102" t="str">
        <f aca="false">INDEX(T,24+MONTH(U38),lang) &amp; " " &amp; DAY(U38) &amp; ", " &amp; YEAR(U38)</f>
        <v>Jún 21, 2016</v>
      </c>
      <c r="D41" s="103" t="n">
        <f aca="false">TIME(HOUR(U38),MINUTE(U38),0)</f>
        <v>0.875</v>
      </c>
      <c r="E41" s="104" t="str">
        <f aca="false">AC27</f>
        <v>Horvátország</v>
      </c>
      <c r="F41" s="105" t="n">
        <v>2</v>
      </c>
      <c r="G41" s="106" t="n">
        <v>1</v>
      </c>
      <c r="H41" s="107" t="str">
        <f aca="false">AC26</f>
        <v>Spanyolország</v>
      </c>
      <c r="I41" s="108" t="n">
        <f aca="false">INDEX(T,113,lang)</f>
        <v>0</v>
      </c>
      <c r="J41" s="108"/>
      <c r="K41" s="108"/>
      <c r="L41" s="0"/>
      <c r="M41" s="93" t="str">
        <f aca="false">VLOOKUP(3,AB38:AL41,2,0)</f>
        <v>Portugália</v>
      </c>
      <c r="N41" s="94" t="n">
        <f aca="false">O41+P41+Q41</f>
        <v>3</v>
      </c>
      <c r="O41" s="94" t="n">
        <f aca="false">VLOOKUP(3,AB38:AL41,3,0)</f>
        <v>0</v>
      </c>
      <c r="P41" s="94" t="n">
        <f aca="false">VLOOKUP(3,AB38:AL41,4,0)</f>
        <v>3</v>
      </c>
      <c r="Q41" s="94" t="n">
        <f aca="false">VLOOKUP(3,AB38:AL41,5,0)</f>
        <v>0</v>
      </c>
      <c r="R41" s="94" t="str">
        <f aca="false">VLOOKUP(3,AB38:AL41,6,0) &amp; " - " &amp; VLOOKUP(3,AB38:AL41,7,0)</f>
        <v>4 - 4</v>
      </c>
      <c r="S41" s="95" t="n">
        <f aca="false">O41*3+P41</f>
        <v>3</v>
      </c>
      <c r="U41" s="65" t="n">
        <f aca="false">DATE(2016,6,22)+TIME(8,0,0)+gmt_delta</f>
        <v>42543.875</v>
      </c>
      <c r="V41" s="66" t="str">
        <f aca="false">IF(OR(F44="",G44=""),"",IF(F44&gt;G44,E44&amp;"_win",IF(F44&lt;G44,E44&amp;"_lose",E44&amp;"_draw")))</f>
        <v>Olaszország_lose</v>
      </c>
      <c r="W41" s="66" t="str">
        <f aca="false">IF(V41="","",IF(F44&lt;G44,H44&amp;"_win",IF(F44&gt;G44,H44&amp;"_lose",H44&amp;"_draw")))</f>
        <v>Ír Köztársaság_win</v>
      </c>
      <c r="X41" s="67" t="n">
        <f aca="false">IF(V41="",0,IF(VLOOKUP(E44,$AC$8:$AL$53,7,0)=VLOOKUP(H44,$AC$8:$AL$53,7,0),1,0))</f>
        <v>0</v>
      </c>
      <c r="Y41" s="65" t="n">
        <f aca="false">X41*F44</f>
        <v>0</v>
      </c>
      <c r="Z41" s="65" t="n">
        <f aca="false">X41*G44</f>
        <v>0</v>
      </c>
      <c r="AA41" s="0"/>
      <c r="AB41" s="65" t="n">
        <f aca="false">COUNTIF(AO38:AO41,CONCATENATE("&gt;=",AO41))</f>
        <v>1</v>
      </c>
      <c r="AC41" s="67" t="str">
        <f aca="false">INDEX(T,43,lang)</f>
        <v>Magyarország</v>
      </c>
      <c r="AD41" s="65" t="n">
        <f aca="false">COUNTIF($V$7:$W$42,"=" &amp; AC41 &amp; "_win")</f>
        <v>1</v>
      </c>
      <c r="AE41" s="65" t="n">
        <f aca="false">COUNTIF($V$7:$W$42,"=" &amp; AC41 &amp; "_draw")</f>
        <v>2</v>
      </c>
      <c r="AF41" s="65" t="n">
        <f aca="false">COUNTIF($V$7:$W$42,"=" &amp; AC41 &amp; "_lose")</f>
        <v>0</v>
      </c>
      <c r="AG41" s="65" t="n">
        <f aca="false">SUMIF($E$10:$E$45,$AC41,$F$10:$F$45) + SUMIF($H$10:$H$45,$AC41,$G$10:$G$45)</f>
        <v>6</v>
      </c>
      <c r="AH41" s="65" t="n">
        <f aca="false">SUMIF($E$10:$E$45,$AC41,$G$10:$G$45) + SUMIF($H$10:$H$45,$AC41,$F$10:$F$45)</f>
        <v>4</v>
      </c>
      <c r="AI41" s="65" t="n">
        <f aca="false">AL41*10000</f>
        <v>50000</v>
      </c>
      <c r="AJ41" s="65" t="n">
        <f aca="false">AG41-AH41</f>
        <v>2</v>
      </c>
      <c r="AK41" s="65" t="n">
        <f aca="false">(AJ41-AJ43)/AJ42</f>
        <v>0.833333333333333</v>
      </c>
      <c r="AL41" s="65" t="n">
        <f aca="false">AD41*3+AE41</f>
        <v>5</v>
      </c>
      <c r="AM41" s="65" t="n">
        <f aca="false">AQ41/AQ42*10+AR41/AR42+AU41/AU42*0.1+AS41/AS42*0.01</f>
        <v>0.505</v>
      </c>
      <c r="AN41" s="65" t="n">
        <f aca="false">VLOOKUP(AC41,db_fifarank,2,0)/2000000</f>
        <v>0.013571</v>
      </c>
      <c r="AO41" s="67" t="n">
        <f aca="false">10000000*AL41/AL42+100000*AM41/AM42+100*AK41+10*AG41/AG42+1*AM41/AM42+AN41</f>
        <v>10033648.4997283</v>
      </c>
      <c r="AQ41" s="69" t="n">
        <f aca="false">SUMPRODUCT(($V$7:$V$42=AC41&amp;"_win")*($X$7:$X$42))+SUMPRODUCT(($W$7:$W$42=AC41&amp;"_win")*($X$7:$X$42))</f>
        <v>0</v>
      </c>
      <c r="AR41" s="69" t="n">
        <f aca="false">SUMPRODUCT(($V$7:$V$42=AC41&amp;"_draw")*($X$7:$X$42))+SUMPRODUCT(($W$7:$W$42=AC41&amp;"_draw")*($X$7:$X$42))</f>
        <v>1</v>
      </c>
      <c r="AS41" s="69" t="n">
        <f aca="false">SUMPRODUCT(($E$10:$E$45=AC41)*($X$7:$X$42)*($F$10:$F$45))+SUMPRODUCT(($H$10:$H$45=AC41)*($X$7:$X$42)*($G$10:$G$45))</f>
        <v>1</v>
      </c>
      <c r="AT41" s="69" t="n">
        <f aca="false">SUMPRODUCT(($E$10:$E$45=AC41)*($X$7:$X$42)*($G$10:$G$45))+SUMPRODUCT(($H$10:$H$45=AC41)*($X$7:$X$42)*($F$10:$F$45))</f>
        <v>1</v>
      </c>
      <c r="AU41" s="69" t="n">
        <f aca="false">AS41-AT41</f>
        <v>0</v>
      </c>
      <c r="BK41" s="126" t="str">
        <f aca="false">INDEX(T,102,lang)</f>
        <v>Champion 2016</v>
      </c>
      <c r="BL41" s="126"/>
      <c r="BM41" s="126"/>
      <c r="BN41" s="126"/>
      <c r="BO41" s="126"/>
      <c r="BP41" s="127" t="str">
        <f aca="false">V73</f>
        <v/>
      </c>
      <c r="BQ41" s="127"/>
      <c r="BR41" s="127"/>
      <c r="BS41" s="127"/>
      <c r="BT41" s="127"/>
      <c r="BU41" s="127"/>
    </row>
    <row r="42" customFormat="false" ht="12.75" hidden="false" customHeight="false" outlineLevel="0" collapsed="false">
      <c r="A42" s="100" t="n">
        <v>33</v>
      </c>
      <c r="B42" s="101" t="str">
        <f aca="false">INDEX(T,18+INT(MOD(U39-1,7)),lang)</f>
        <v>Sze</v>
      </c>
      <c r="C42" s="102" t="str">
        <f aca="false">INDEX(T,24+MONTH(U39),lang) &amp; " " &amp; DAY(U39) &amp; ", " &amp; YEAR(U39)</f>
        <v>Jún 22, 2016</v>
      </c>
      <c r="D42" s="103" t="n">
        <f aca="false">TIME(HOUR(U39),MINUTE(U39),0)</f>
        <v>0.75</v>
      </c>
      <c r="E42" s="104" t="str">
        <f aca="false">AC39</f>
        <v>Izland</v>
      </c>
      <c r="F42" s="105" t="n">
        <v>2</v>
      </c>
      <c r="G42" s="106" t="n">
        <v>1</v>
      </c>
      <c r="H42" s="107" t="str">
        <f aca="false">AC40</f>
        <v>Ausztria</v>
      </c>
      <c r="I42" s="108" t="n">
        <f aca="false">INDEX(T,114,lang)</f>
        <v>0</v>
      </c>
      <c r="J42" s="108"/>
      <c r="K42" s="108"/>
      <c r="L42" s="0"/>
      <c r="M42" s="114" t="str">
        <f aca="false">VLOOKUP(4,AB38:AL41,2,0)</f>
        <v>Ausztria</v>
      </c>
      <c r="N42" s="115" t="n">
        <f aca="false">O42+P42+Q42</f>
        <v>3</v>
      </c>
      <c r="O42" s="115" t="n">
        <f aca="false">VLOOKUP(4,AB38:AL41,3,0)</f>
        <v>0</v>
      </c>
      <c r="P42" s="115" t="n">
        <f aca="false">VLOOKUP(4,AB38:AL41,4,0)</f>
        <v>1</v>
      </c>
      <c r="Q42" s="115" t="n">
        <f aca="false">VLOOKUP(4,AB38:AL41,5,0)</f>
        <v>2</v>
      </c>
      <c r="R42" s="115" t="str">
        <f aca="false">VLOOKUP(4,AB38:AL41,6,0) &amp; " - " &amp; VLOOKUP(4,AB38:AL41,7,0)</f>
        <v>1 - 4</v>
      </c>
      <c r="S42" s="116" t="n">
        <f aca="false">O42*3+P42</f>
        <v>1</v>
      </c>
      <c r="U42" s="65" t="n">
        <f aca="false">DATE(2016,6,22)+TIME(8,0,0)+gmt_delta</f>
        <v>42543.875</v>
      </c>
      <c r="V42" s="66" t="str">
        <f aca="false">IF(OR(F45="",G45=""),"",IF(F45&gt;G45,E45&amp;"_win",IF(F45&lt;G45,E45&amp;"_lose",E45&amp;"_draw")))</f>
        <v>Svédország_lose</v>
      </c>
      <c r="W42" s="66" t="str">
        <f aca="false">IF(V42="","",IF(F45&lt;G45,H45&amp;"_win",IF(F45&gt;G45,H45&amp;"_lose",H45&amp;"_draw")))</f>
        <v>Belgium_win</v>
      </c>
      <c r="X42" s="67" t="n">
        <f aca="false">IF(V42="",0,IF(VLOOKUP(E45,$AC$8:$AL$53,7,0)=VLOOKUP(H45,$AC$8:$AL$53,7,0),1,0))</f>
        <v>0</v>
      </c>
      <c r="Y42" s="65" t="n">
        <f aca="false">X42*F45</f>
        <v>0</v>
      </c>
      <c r="Z42" s="65" t="n">
        <f aca="false">X42*G45</f>
        <v>0</v>
      </c>
      <c r="AA42" s="0"/>
      <c r="AB42" s="0"/>
      <c r="AC42" s="0"/>
      <c r="AD42" s="65" t="n">
        <f aca="false">MAX(AD38:AD41)-MIN(AD38:AD41)+1</f>
        <v>2</v>
      </c>
      <c r="AE42" s="65" t="n">
        <f aca="false">MAX(AE38:AE41)-MIN(AE38:AE41)+1</f>
        <v>3</v>
      </c>
      <c r="AF42" s="65" t="n">
        <f aca="false">MAX(AF38:AF41)-MIN(AF38:AF41)+1</f>
        <v>3</v>
      </c>
      <c r="AG42" s="65" t="n">
        <f aca="false">MAX(AG38:AG41)-MIN(AG38:AG41)+1</f>
        <v>6</v>
      </c>
      <c r="AH42" s="65" t="n">
        <f aca="false">MAX(AH38:AH41)-MIN(AH38:AH41)+1</f>
        <v>2</v>
      </c>
      <c r="AI42" s="65" t="n">
        <f aca="false">MAX(AI38:AI41)-AI43+1</f>
        <v>40001</v>
      </c>
      <c r="AJ42" s="65" t="n">
        <f aca="false">MAX(AJ38:AJ41)-AJ43+1</f>
        <v>6</v>
      </c>
      <c r="AK42" s="0"/>
      <c r="AL42" s="65" t="n">
        <f aca="false">MAX(AL38:AL41)-MIN(AL38:AL41)+1</f>
        <v>5</v>
      </c>
      <c r="AM42" s="65" t="n">
        <f aca="false">MAX(AM38:AM41)-MIN(AM38:AM41)+1</f>
        <v>1.505</v>
      </c>
      <c r="AN42" s="0"/>
      <c r="AO42" s="0"/>
      <c r="AQ42" s="65" t="n">
        <f aca="false">MAX(AQ38:AQ41)-MIN(AQ38:AQ41)+1</f>
        <v>1</v>
      </c>
      <c r="AR42" s="65" t="n">
        <f aca="false">MAX(AR38:AR41)-MIN(AR38:AR41)+1</f>
        <v>2</v>
      </c>
      <c r="AS42" s="65" t="n">
        <f aca="false">MAX(AS38:AS41)-MIN(AS38:AS41)+1</f>
        <v>2</v>
      </c>
      <c r="AT42" s="65" t="n">
        <f aca="false">MAX(AT38:AT41)-MIN(AT38:AT41)+1</f>
        <v>2</v>
      </c>
      <c r="AU42" s="65" t="n">
        <f aca="false">MAX(AU38:AU41)-MIN(AU38:AU41)+1</f>
        <v>1</v>
      </c>
      <c r="BK42" s="126"/>
      <c r="BL42" s="126"/>
      <c r="BM42" s="126"/>
      <c r="BN42" s="126"/>
      <c r="BO42" s="126"/>
      <c r="BP42" s="127"/>
      <c r="BQ42" s="127"/>
      <c r="BR42" s="127"/>
      <c r="BS42" s="127"/>
      <c r="BT42" s="127"/>
      <c r="BU42" s="127"/>
    </row>
    <row r="43" customFormat="false" ht="12.75" hidden="false" customHeight="false" outlineLevel="0" collapsed="false">
      <c r="A43" s="100" t="n">
        <v>34</v>
      </c>
      <c r="B43" s="101" t="str">
        <f aca="false">INDEX(T,18+INT(MOD(U40-1,7)),lang)</f>
        <v>Sze</v>
      </c>
      <c r="C43" s="102" t="str">
        <f aca="false">INDEX(T,24+MONTH(U40),lang) &amp; " " &amp; DAY(U40) &amp; ", " &amp; YEAR(U40)</f>
        <v>Jún 22, 2016</v>
      </c>
      <c r="D43" s="103" t="n">
        <f aca="false">TIME(HOUR(U40),MINUTE(U40),0)</f>
        <v>0.75</v>
      </c>
      <c r="E43" s="104" t="str">
        <f aca="false">AC41</f>
        <v>Magyarország</v>
      </c>
      <c r="F43" s="105" t="n">
        <v>3</v>
      </c>
      <c r="G43" s="106" t="n">
        <v>3</v>
      </c>
      <c r="H43" s="107" t="str">
        <f aca="false">AC38</f>
        <v>Portugália</v>
      </c>
      <c r="I43" s="108" t="n">
        <f aca="false">INDEX(T,110,lang)</f>
        <v>0</v>
      </c>
      <c r="J43" s="108"/>
      <c r="K43" s="108"/>
      <c r="L43" s="0"/>
      <c r="M43" s="0"/>
      <c r="N43" s="0"/>
      <c r="O43" s="0"/>
      <c r="P43" s="0"/>
      <c r="Q43" s="0"/>
      <c r="R43" s="0"/>
      <c r="S43" s="0"/>
      <c r="U43" s="0"/>
      <c r="V43" s="0"/>
      <c r="W43" s="0"/>
      <c r="X43" s="0"/>
      <c r="AA43" s="0"/>
      <c r="AB43" s="0"/>
      <c r="AC43" s="0"/>
      <c r="AD43" s="0"/>
      <c r="AE43" s="0"/>
      <c r="AF43" s="0"/>
      <c r="AG43" s="0"/>
      <c r="AH43" s="0"/>
      <c r="AI43" s="65" t="n">
        <f aca="false">MIN(AI38:AI41)</f>
        <v>10000</v>
      </c>
      <c r="AJ43" s="65" t="n">
        <f aca="false">MIN(AJ38:AJ41)</f>
        <v>-3</v>
      </c>
      <c r="AK43" s="0"/>
      <c r="AL43" s="0"/>
      <c r="AN43" s="0"/>
      <c r="AO43" s="0"/>
      <c r="AQ43" s="0"/>
      <c r="AR43" s="0"/>
      <c r="AS43" s="0"/>
      <c r="AT43" s="0"/>
      <c r="AU43" s="0"/>
    </row>
    <row r="44" customFormat="false" ht="12.75" hidden="false" customHeight="false" outlineLevel="0" collapsed="false">
      <c r="A44" s="100" t="n">
        <v>35</v>
      </c>
      <c r="B44" s="101" t="str">
        <f aca="false">INDEX(T,18+INT(MOD(U41-1,7)),lang)</f>
        <v>Sze</v>
      </c>
      <c r="C44" s="102" t="str">
        <f aca="false">INDEX(T,24+MONTH(U41),lang) &amp; " " &amp; DAY(U41) &amp; ", " &amp; YEAR(U41)</f>
        <v>Jún 22, 2016</v>
      </c>
      <c r="D44" s="103" t="n">
        <f aca="false">TIME(HOUR(U41),MINUTE(U41),0)</f>
        <v>0.875</v>
      </c>
      <c r="E44" s="104" t="str">
        <f aca="false">AC34</f>
        <v>Olaszország</v>
      </c>
      <c r="F44" s="105" t="n">
        <v>0</v>
      </c>
      <c r="G44" s="106" t="n">
        <v>1</v>
      </c>
      <c r="H44" s="107" t="str">
        <f aca="false">AC33</f>
        <v>Ír Köztársaság</v>
      </c>
      <c r="I44" s="108" t="n">
        <f aca="false">INDEX(T,111,lang)</f>
        <v>0</v>
      </c>
      <c r="J44" s="108"/>
      <c r="K44" s="108"/>
      <c r="L44" s="0"/>
      <c r="M44" s="76" t="str">
        <f aca="false">INDEX(T,9,lang) &amp; " "</f>
        <v>Csoport</v>
      </c>
      <c r="N44" s="77" t="str">
        <f aca="false">INDEX(T,10,lang)</f>
        <v>M</v>
      </c>
      <c r="O44" s="77" t="str">
        <f aca="false">INDEX(T,11,lang)</f>
        <v>GY</v>
      </c>
      <c r="P44" s="77" t="str">
        <f aca="false">INDEX(T,12,lang)</f>
        <v>D</v>
      </c>
      <c r="Q44" s="77" t="str">
        <f aca="false">INDEX(T,13,lang)</f>
        <v>V</v>
      </c>
      <c r="R44" s="77" t="str">
        <f aca="false">INDEX(T,14,lang)</f>
        <v>Gólkül.</v>
      </c>
      <c r="S44" s="77" t="str">
        <f aca="false">INDEX(T,15,lang)</f>
        <v>PNT</v>
      </c>
      <c r="U44" s="0"/>
      <c r="V44" s="0"/>
      <c r="W44" s="0"/>
      <c r="X44" s="0"/>
      <c r="AA44" s="67" t="str">
        <f aca="false">IF(AB44&lt;5,"A","")</f>
        <v/>
      </c>
      <c r="AB44" s="65" t="n">
        <f aca="false">COUNTIF($AO$44:$AO$49,CONCATENATE("&gt;=",AO44))</f>
        <v>6</v>
      </c>
      <c r="AC44" s="67" t="str">
        <f aca="false">AP10</f>
        <v>Albánia</v>
      </c>
      <c r="AD44" s="65" t="n">
        <f aca="false">IFERROR(VLOOKUP($AC44,$AC$8:$AH$41,2,0),0)</f>
        <v>1</v>
      </c>
      <c r="AE44" s="65" t="n">
        <f aca="false">IFERROR(VLOOKUP($AC44,$AC$8:$AH$41,3,0),0)</f>
        <v>0</v>
      </c>
      <c r="AF44" s="65" t="n">
        <f aca="false">IFERROR(VLOOKUP($AC44,$AC$8:$AH$41,4,0),0)</f>
        <v>2</v>
      </c>
      <c r="AG44" s="65" t="n">
        <f aca="false">IFERROR(VLOOKUP($AC44,$AC$8:$AH$41,5,0),0)</f>
        <v>1</v>
      </c>
      <c r="AH44" s="65" t="n">
        <f aca="false">IFERROR(VLOOKUP($AC44,$AC$8:$AH$41,6,0),0)</f>
        <v>3</v>
      </c>
      <c r="AI44" s="0"/>
      <c r="AJ44" s="65" t="n">
        <f aca="false">AG44-AH44</f>
        <v>-2</v>
      </c>
      <c r="AK44" s="65" t="n">
        <f aca="false">(AJ44-AJ51)/AJ50</f>
        <v>0</v>
      </c>
      <c r="AL44" s="65" t="n">
        <f aca="false">AD44*3+AE44</f>
        <v>3</v>
      </c>
      <c r="AN44" s="65" t="n">
        <f aca="false">IFERROR(VLOOKUP(AC44,db_fifarank,2,0)/2000000,6)</f>
        <v>0.011608</v>
      </c>
      <c r="AO44" s="67" t="n">
        <f aca="false">AL44/$AL$50*10000+AK44*1000+AG44/$AG$50*100+AN44</f>
        <v>15025.011608</v>
      </c>
      <c r="AQ44" s="0"/>
      <c r="AR44" s="0"/>
      <c r="AS44" s="0"/>
      <c r="AT44" s="0"/>
      <c r="AU44" s="0"/>
    </row>
    <row r="45" customFormat="false" ht="12.75" hidden="false" customHeight="false" outlineLevel="0" collapsed="false">
      <c r="A45" s="128" t="n">
        <v>36</v>
      </c>
      <c r="B45" s="129" t="str">
        <f aca="false">INDEX(T,18+INT(MOD(U42-1,7)),lang)</f>
        <v>Sze</v>
      </c>
      <c r="C45" s="130" t="str">
        <f aca="false">INDEX(T,24+MONTH(U42),lang) &amp; " " &amp; DAY(U42) &amp; ", " &amp; YEAR(U42)</f>
        <v>Jún 22, 2016</v>
      </c>
      <c r="D45" s="131" t="n">
        <f aca="false">TIME(HOUR(U42),MINUTE(U42),0)</f>
        <v>0.875</v>
      </c>
      <c r="E45" s="132" t="str">
        <f aca="false">AC35</f>
        <v>Svédország</v>
      </c>
      <c r="F45" s="110" t="n">
        <v>0</v>
      </c>
      <c r="G45" s="111" t="n">
        <v>1</v>
      </c>
      <c r="H45" s="133" t="str">
        <f aca="false">AC32</f>
        <v>Belgium</v>
      </c>
      <c r="I45" s="134" t="n">
        <f aca="false">INDEX(T,103,lang)</f>
        <v>0</v>
      </c>
      <c r="J45" s="134"/>
      <c r="K45" s="134"/>
      <c r="L45" s="0"/>
      <c r="M45" s="135" t="str">
        <f aca="false">VLOOKUP(1,AB44:AL49,2,0)</f>
        <v>Szlovákia</v>
      </c>
      <c r="N45" s="80" t="n">
        <f aca="false">O45+P45+Q45</f>
        <v>3</v>
      </c>
      <c r="O45" s="80" t="n">
        <f aca="false">VLOOKUP(1,AB44:AL49,3,0)</f>
        <v>1</v>
      </c>
      <c r="P45" s="80" t="n">
        <f aca="false">VLOOKUP(1,AB44:AL49,4,0)</f>
        <v>1</v>
      </c>
      <c r="Q45" s="80" t="n">
        <f aca="false">VLOOKUP(1,AB44:AL49,5,0)</f>
        <v>1</v>
      </c>
      <c r="R45" s="80" t="str">
        <f aca="false">VLOOKUP(1,AB44:AL49,6,0) &amp; " - " &amp; VLOOKUP(1,AB44:AL49,7,0)</f>
        <v>3 - 3</v>
      </c>
      <c r="S45" s="81" t="n">
        <f aca="false">O45*3+P45</f>
        <v>4</v>
      </c>
      <c r="U45" s="0"/>
      <c r="V45" s="0"/>
      <c r="W45" s="0"/>
      <c r="X45" s="0"/>
      <c r="AA45" s="67" t="str">
        <f aca="false">IF(AB45&lt;5,"B","")</f>
        <v>B</v>
      </c>
      <c r="AB45" s="65" t="n">
        <f aca="false">COUNTIF($AO$44:$AO$49,CONCATENATE("&gt;=",AO45))</f>
        <v>1</v>
      </c>
      <c r="AC45" s="67" t="str">
        <f aca="false">AP16</f>
        <v>Szlovákia</v>
      </c>
      <c r="AD45" s="65" t="n">
        <f aca="false">IFERROR(VLOOKUP(AC45,$AC$8:$AH$41,2,0),0)</f>
        <v>1</v>
      </c>
      <c r="AE45" s="65" t="n">
        <f aca="false">IFERROR(VLOOKUP($AC45,$AC$8:$AH$41,3,0),0)</f>
        <v>1</v>
      </c>
      <c r="AF45" s="65" t="n">
        <f aca="false">IFERROR(VLOOKUP($AC45,$AC$8:$AH$41,4,0),0)</f>
        <v>1</v>
      </c>
      <c r="AG45" s="65" t="n">
        <f aca="false">IFERROR(VLOOKUP($AC45,$AC$8:$AH$41,5,0),0)</f>
        <v>3</v>
      </c>
      <c r="AH45" s="65" t="n">
        <f aca="false">IFERROR(VLOOKUP($AC45,$AC$8:$AH$41,6,0),0)</f>
        <v>3</v>
      </c>
      <c r="AI45" s="0"/>
      <c r="AJ45" s="65" t="n">
        <f aca="false">AG45-AH45</f>
        <v>0</v>
      </c>
      <c r="AK45" s="65" t="n">
        <f aca="false">(AJ45-AJ51)/AJ50</f>
        <v>0.666666666666667</v>
      </c>
      <c r="AL45" s="65" t="n">
        <f aca="false">AD45*3+AE45</f>
        <v>4</v>
      </c>
      <c r="AN45" s="65" t="n">
        <f aca="false">IFERROR(VLOOKUP(AC45,db_fifarank,2,0)/2000000,5)</f>
        <v>0.0135855</v>
      </c>
      <c r="AO45" s="67" t="n">
        <f aca="false">AL45/$AL$50*10000+AK45*1000+AG45/$AG$50*100+AN45</f>
        <v>20741.6802521667</v>
      </c>
      <c r="AQ45" s="0"/>
      <c r="AR45" s="0"/>
      <c r="AS45" s="0"/>
      <c r="AT45" s="0"/>
      <c r="AU45" s="0"/>
    </row>
    <row r="46" customFormat="false" ht="12.75" hidden="false" customHeight="false" outlineLevel="0" collapsed="false"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93" t="str">
        <f aca="false">VLOOKUP(2,AB44:AL49,2,0)</f>
        <v>Ír Köztársaság</v>
      </c>
      <c r="N46" s="94" t="n">
        <f aca="false">O46+P46+Q46</f>
        <v>3</v>
      </c>
      <c r="O46" s="94" t="n">
        <f aca="false">VLOOKUP(2,AB44:AL49,3,0)</f>
        <v>1</v>
      </c>
      <c r="P46" s="94" t="n">
        <f aca="false">VLOOKUP(2,AB44:AL49,4,0)</f>
        <v>1</v>
      </c>
      <c r="Q46" s="94" t="n">
        <f aca="false">VLOOKUP(2,AB44:AL49,5,0)</f>
        <v>1</v>
      </c>
      <c r="R46" s="94" t="str">
        <f aca="false">VLOOKUP(2,AB44:AL49,6,0) &amp; " - " &amp; VLOOKUP(2,AB44:AL49,7,0)</f>
        <v>2 - 4</v>
      </c>
      <c r="S46" s="95" t="n">
        <f aca="false">O46*3+P46</f>
        <v>4</v>
      </c>
      <c r="U46" s="65" t="n">
        <f aca="false">DATE(2016,6,25)+TIME(2,0,0)+gmt_delta</f>
        <v>42546.625</v>
      </c>
      <c r="V46" s="66" t="str">
        <f aca="false">IF(OR(BB10="",BB11=""),"",IF(BB10&gt;BB11,BA10,IF(BB10&lt;BB11,BA11,IF(OR(BC10="",BC11=""),"draw",IF(BC10&gt;BC11,BA10,IF(BC10&lt;BC11,BA11,"draw"))))))</f>
        <v>Lengyelország</v>
      </c>
      <c r="W46" s="66" t="str">
        <f aca="false">IF(OR(V46="",V46="draw"),INDEX(T,86,lang),V46)</f>
        <v>Lengyelország</v>
      </c>
      <c r="X46" s="0"/>
      <c r="AA46" s="67" t="str">
        <f aca="false">IF(AB46&lt;5,"C","")</f>
        <v>C</v>
      </c>
      <c r="AB46" s="65" t="n">
        <f aca="false">COUNTIF($AO$44:$AO$49,CONCATENATE("&gt;=",AO46))</f>
        <v>4</v>
      </c>
      <c r="AC46" s="67" t="str">
        <f aca="false">AP22</f>
        <v>Észak-Írország</v>
      </c>
      <c r="AD46" s="65" t="n">
        <f aca="false">IFERROR(VLOOKUP(AC46,$AC$8:$AH$41,2,0),0)</f>
        <v>1</v>
      </c>
      <c r="AE46" s="65" t="n">
        <f aca="false">IFERROR(VLOOKUP($AC46,$AC$8:$AH$41,3,0),0)</f>
        <v>0</v>
      </c>
      <c r="AF46" s="65" t="n">
        <f aca="false">IFERROR(VLOOKUP($AC46,$AC$8:$AH$41,4,0),0)</f>
        <v>2</v>
      </c>
      <c r="AG46" s="65" t="n">
        <f aca="false">IFERROR(VLOOKUP($AC46,$AC$8:$AH$41,5,0),0)</f>
        <v>2</v>
      </c>
      <c r="AH46" s="65" t="n">
        <f aca="false">IFERROR(VLOOKUP($AC46,$AC$8:$AH$41,6,0),0)</f>
        <v>2</v>
      </c>
      <c r="AI46" s="0"/>
      <c r="AJ46" s="65" t="n">
        <f aca="false">AG46-AH46</f>
        <v>0</v>
      </c>
      <c r="AK46" s="65" t="n">
        <f aca="false">(AJ46-AJ51)/AJ50</f>
        <v>0.666666666666667</v>
      </c>
      <c r="AL46" s="65" t="n">
        <f aca="false">AD46*3+AE46</f>
        <v>3</v>
      </c>
      <c r="AN46" s="65" t="n">
        <f aca="false">IFERROR(VLOOKUP(AC46,db_fifarank,2,0)/2000000,4)</f>
        <v>0.0114805</v>
      </c>
      <c r="AO46" s="67" t="n">
        <f aca="false">AL46/$AL$50*10000+AK46*1000+AG46/$AG$50*100+AN46</f>
        <v>15716.6781471667</v>
      </c>
      <c r="AQ46" s="0"/>
      <c r="AR46" s="0"/>
      <c r="AS46" s="0"/>
      <c r="AT46" s="0"/>
      <c r="AU46" s="0"/>
    </row>
    <row r="47" customFormat="false" ht="12.75" hidden="false" customHeight="false" outlineLevel="0" collapsed="false"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93" t="str">
        <f aca="false">VLOOKUP(3,AB44:AL49,2,0)</f>
        <v>Portugália</v>
      </c>
      <c r="N47" s="94" t="n">
        <f aca="false">O47+P47+Q47</f>
        <v>3</v>
      </c>
      <c r="O47" s="94" t="n">
        <f aca="false">VLOOKUP(3,AB44:AL49,3,0)</f>
        <v>0</v>
      </c>
      <c r="P47" s="94" t="n">
        <f aca="false">VLOOKUP(3,AB44:AL49,4,0)</f>
        <v>3</v>
      </c>
      <c r="Q47" s="94" t="n">
        <f aca="false">VLOOKUP(3,AB44:AL49,5,0)</f>
        <v>0</v>
      </c>
      <c r="R47" s="94" t="str">
        <f aca="false">VLOOKUP(3,AB44:AL49,6,0) &amp; " - " &amp; VLOOKUP(3,AB44:AL49,7,0)</f>
        <v>4 - 4</v>
      </c>
      <c r="S47" s="95" t="n">
        <f aca="false">O47*3+P47</f>
        <v>3</v>
      </c>
      <c r="U47" s="65" t="n">
        <f aca="false">DATE(2016,6,25)+TIME(5,0,0)+gmt_delta</f>
        <v>42546.75</v>
      </c>
      <c r="V47" s="66" t="str">
        <f aca="false">IF(OR(BB14="",BB15=""),"",IF(BB14&gt;BB15,BA14,IF(BB14&lt;BB15,BA15,IF(OR(BC14="",BC15=""),"draw",IF(BC14&gt;BC15,BA14,IF(BC14&lt;BC15,BA15,"draw"))))))</f>
        <v>Portugália</v>
      </c>
      <c r="W47" s="66" t="str">
        <f aca="false">IF(OR(V47="",V47="draw"),INDEX(T,87,lang),V47)</f>
        <v>Portugália</v>
      </c>
      <c r="X47" s="0"/>
      <c r="AA47" s="67" t="str">
        <f aca="false">IF(AB47&lt;5,"D","")</f>
        <v/>
      </c>
      <c r="AB47" s="65" t="n">
        <f aca="false">COUNTIF($AO$44:$AO$49,CONCATENATE("&gt;=",AO47))</f>
        <v>5</v>
      </c>
      <c r="AC47" s="67" t="str">
        <f aca="false">AP28</f>
        <v>Törökország</v>
      </c>
      <c r="AD47" s="65" t="n">
        <f aca="false">IFERROR(VLOOKUP(AC47,$AC$8:$AH$41,2,0),0)</f>
        <v>1</v>
      </c>
      <c r="AE47" s="65" t="n">
        <f aca="false">IFERROR(VLOOKUP($AC47,$AC$8:$AH$41,3,0),0)</f>
        <v>0</v>
      </c>
      <c r="AF47" s="65" t="n">
        <f aca="false">IFERROR(VLOOKUP($AC47,$AC$8:$AH$41,4,0),0)</f>
        <v>2</v>
      </c>
      <c r="AG47" s="65" t="n">
        <f aca="false">IFERROR(VLOOKUP($AC47,$AC$8:$AH$41,5,0),0)</f>
        <v>2</v>
      </c>
      <c r="AH47" s="65" t="n">
        <f aca="false">IFERROR(VLOOKUP($AC47,$AC$8:$AH$41,6,0),0)</f>
        <v>4</v>
      </c>
      <c r="AI47" s="0"/>
      <c r="AJ47" s="65" t="n">
        <f aca="false">AG47-AH47</f>
        <v>-2</v>
      </c>
      <c r="AK47" s="65" t="n">
        <f aca="false">(AJ47-AJ51)/AJ50</f>
        <v>0</v>
      </c>
      <c r="AL47" s="65" t="n">
        <f aca="false">AD47*3+AE47</f>
        <v>3</v>
      </c>
      <c r="AN47" s="65" t="n">
        <f aca="false">IFERROR(VLOOKUP(AC47,db_fifarank,2,0)/2000000,3)</f>
        <v>0.0135165</v>
      </c>
      <c r="AO47" s="67" t="n">
        <f aca="false">AL47/$AL$50*10000+AK47*1000+AG47/$AG$50*100+AN47</f>
        <v>15050.0135165</v>
      </c>
      <c r="AQ47" s="0"/>
      <c r="AR47" s="0"/>
      <c r="AS47" s="0"/>
      <c r="AT47" s="0"/>
      <c r="AU47" s="0"/>
    </row>
    <row r="48" customFormat="false" ht="12.75" hidden="false" customHeight="false" outlineLevel="0" collapsed="false"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93" t="str">
        <f aca="false">VLOOKUP(4,AB44:AL49,2,0)</f>
        <v>Észak-Írország</v>
      </c>
      <c r="N48" s="94" t="n">
        <f aca="false">O48+P48+Q48</f>
        <v>3</v>
      </c>
      <c r="O48" s="94" t="n">
        <f aca="false">VLOOKUP(4,AB44:AL49,3,0)</f>
        <v>1</v>
      </c>
      <c r="P48" s="94" t="n">
        <f aca="false">VLOOKUP(4,AB44:AL49,4,0)</f>
        <v>0</v>
      </c>
      <c r="Q48" s="94" t="n">
        <f aca="false">VLOOKUP(4,AB44:AL49,5,0)</f>
        <v>2</v>
      </c>
      <c r="R48" s="94" t="str">
        <f aca="false">VLOOKUP(4,AB44:AL49,6,0) &amp; " - " &amp; VLOOKUP(4,AB44:AL49,7,0)</f>
        <v>2 - 2</v>
      </c>
      <c r="S48" s="95" t="n">
        <f aca="false">O48*3+P48</f>
        <v>3</v>
      </c>
      <c r="U48" s="65" t="n">
        <f aca="false">DATE(2016,6,25)+TIME(8,0,0)+gmt_delta</f>
        <v>42546.875</v>
      </c>
      <c r="V48" s="66" t="str">
        <f aca="false">IF(OR(BB26="",BB27=""),"",IF(BB26&gt;BB27,BA26,IF(BB26&lt;BB27,BA27,IF(OR(BC26="",BC27=""),"draw",IF(BC26&gt;BC27,BA26,IF(BC26&lt;BC27,BA27,"draw"))))))</f>
        <v>Németország</v>
      </c>
      <c r="W48" s="66" t="str">
        <f aca="false">IF(OR(V48="",V48="draw"),INDEX(T,88,lang),V48)</f>
        <v>Németország</v>
      </c>
      <c r="X48" s="0"/>
      <c r="AA48" s="67" t="str">
        <f aca="false">IF(AB48&lt;5,"E","")</f>
        <v>E</v>
      </c>
      <c r="AB48" s="65" t="n">
        <f aca="false">COUNTIF($AO$44:$AO$49,CONCATENATE("&gt;=",AO48))</f>
        <v>2</v>
      </c>
      <c r="AC48" s="67" t="str">
        <f aca="false">AP34</f>
        <v>Ír Köztársaság</v>
      </c>
      <c r="AD48" s="65" t="n">
        <f aca="false">IFERROR(VLOOKUP(AC48,$AC$8:$AH$41,2,0),0)</f>
        <v>1</v>
      </c>
      <c r="AE48" s="65" t="n">
        <f aca="false">IFERROR(VLOOKUP($AC48,$AC$8:$AH$41,3,0),0)</f>
        <v>1</v>
      </c>
      <c r="AF48" s="65" t="n">
        <f aca="false">IFERROR(VLOOKUP($AC48,$AC$8:$AH$41,4,0),0)</f>
        <v>1</v>
      </c>
      <c r="AG48" s="65" t="n">
        <f aca="false">IFERROR(VLOOKUP($AC48,$AC$8:$AH$41,5,0),0)</f>
        <v>2</v>
      </c>
      <c r="AH48" s="65" t="n">
        <f aca="false">IFERROR(VLOOKUP($AC48,$AC$8:$AH$41,6,0),0)</f>
        <v>4</v>
      </c>
      <c r="AI48" s="0"/>
      <c r="AJ48" s="65" t="n">
        <f aca="false">AG48-AH48</f>
        <v>-2</v>
      </c>
      <c r="AK48" s="65" t="n">
        <f aca="false">(AJ48-AJ51)/AJ50</f>
        <v>0</v>
      </c>
      <c r="AL48" s="65" t="n">
        <f aca="false">AD48*3+AE48</f>
        <v>4</v>
      </c>
      <c r="AN48" s="65" t="n">
        <f aca="false">IFERROR(VLOOKUP(AC48,db_fifarank,2,0)/2000000,2)</f>
        <v>0.013451</v>
      </c>
      <c r="AO48" s="67" t="n">
        <f aca="false">AL48/$AL$50*10000+AK48*1000+AG48/$AG$50*100+AN48</f>
        <v>20050.013451</v>
      </c>
      <c r="AQ48" s="65"/>
      <c r="AR48" s="65"/>
      <c r="AS48" s="65"/>
      <c r="AT48" s="65"/>
      <c r="AU48" s="65"/>
    </row>
    <row r="49" customFormat="false" ht="12.75" hidden="false" customHeight="false" outlineLevel="0" collapsed="false"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93" t="str">
        <f aca="false">VLOOKUP(5,AB44:AL49,2,0)</f>
        <v>Törökország</v>
      </c>
      <c r="N49" s="94" t="n">
        <f aca="false">O49+P49+Q49</f>
        <v>3</v>
      </c>
      <c r="O49" s="94" t="n">
        <f aca="false">VLOOKUP(5,AB44:AL49,3,0)</f>
        <v>1</v>
      </c>
      <c r="P49" s="94" t="n">
        <f aca="false">VLOOKUP(5,AB44:AL49,4,0)</f>
        <v>0</v>
      </c>
      <c r="Q49" s="94" t="n">
        <f aca="false">VLOOKUP(5,AB44:AL49,5,0)</f>
        <v>2</v>
      </c>
      <c r="R49" s="94" t="str">
        <f aca="false">VLOOKUP(5,AB44:AL49,6,0) &amp; " - " &amp; VLOOKUP(5,AB44:AL49,7,0)</f>
        <v>2 - 4</v>
      </c>
      <c r="S49" s="95" t="n">
        <f aca="false">O49*3+P49</f>
        <v>3</v>
      </c>
      <c r="U49" s="65" t="n">
        <f aca="false">DATE(2016,6,26)+TIME(2,0,0)+gmt_delta</f>
        <v>42547.625</v>
      </c>
      <c r="V49" s="66" t="str">
        <f aca="false">IF(OR(BB30="",BB31=""),"",IF(BB30&gt;BB31,BA30,IF(BB30&lt;BB31,BA31,IF(OR(BC30="",BC31=""),"draw",IF(BC30&gt;BC31,BA30,IF(BC30&lt;BC31,BA31,"draw"))))))</f>
        <v>Olaszország</v>
      </c>
      <c r="W49" s="66" t="str">
        <f aca="false">IF(OR(V49="",V49="draw"),INDEX(T,89,lang),V49)</f>
        <v>Olaszország</v>
      </c>
      <c r="X49" s="0"/>
      <c r="AA49" s="67" t="str">
        <f aca="false">IF(AB49&lt;5,"F","")</f>
        <v>F</v>
      </c>
      <c r="AB49" s="65" t="n">
        <f aca="false">COUNTIF($AO$44:$AO$49,CONCATENATE("&gt;=",AO49))</f>
        <v>3</v>
      </c>
      <c r="AC49" s="67" t="str">
        <f aca="false">AP40</f>
        <v>Portugália</v>
      </c>
      <c r="AD49" s="65" t="n">
        <f aca="false">IFERROR(VLOOKUP(AC49,$AC$8:$AH$41,2,0),0)</f>
        <v>0</v>
      </c>
      <c r="AE49" s="65" t="n">
        <f aca="false">IFERROR(VLOOKUP($AC49,$AC$8:$AH$41,3,0),0)</f>
        <v>3</v>
      </c>
      <c r="AF49" s="65" t="n">
        <f aca="false">IFERROR(VLOOKUP($AC49,$AC$8:$AH$41,4,0),0)</f>
        <v>0</v>
      </c>
      <c r="AG49" s="65" t="n">
        <f aca="false">IFERROR(VLOOKUP($AC49,$AC$8:$AH$41,5,0),0)</f>
        <v>4</v>
      </c>
      <c r="AH49" s="65" t="n">
        <f aca="false">IFERROR(VLOOKUP($AC49,$AC$8:$AH$41,6,0),0)</f>
        <v>4</v>
      </c>
      <c r="AI49" s="0"/>
      <c r="AJ49" s="65" t="n">
        <f aca="false">AG49-AH49</f>
        <v>0</v>
      </c>
      <c r="AK49" s="65" t="n">
        <f aca="false">(AJ49-AJ51)/AJ50</f>
        <v>0.666666666666667</v>
      </c>
      <c r="AL49" s="65" t="n">
        <f aca="false">AD49*3+AE49</f>
        <v>3</v>
      </c>
      <c r="AN49" s="65" t="n">
        <f aca="false">IFERROR(VLOOKUP(AC49,db_fifarank,2,0)/2000000,1)</f>
        <v>0.017569</v>
      </c>
      <c r="AO49" s="67" t="n">
        <f aca="false">AL49/$AL$50*10000+AK49*1000+AG49/$AG$50*100+AN49</f>
        <v>15766.6842356667</v>
      </c>
      <c r="AQ49" s="0"/>
      <c r="AR49" s="0"/>
      <c r="AS49" s="0"/>
      <c r="AT49" s="0"/>
      <c r="AU49" s="0"/>
    </row>
    <row r="50" customFormat="false" ht="12.75" hidden="false" customHeight="false" outlineLevel="0" collapsed="false"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114" t="str">
        <f aca="false">VLOOKUP(6,AB44:AL49,2,0)</f>
        <v>Albánia</v>
      </c>
      <c r="N50" s="115" t="n">
        <f aca="false">O50+P50+Q50</f>
        <v>3</v>
      </c>
      <c r="O50" s="115" t="n">
        <f aca="false">VLOOKUP(6,AB44:AL49,3,0)</f>
        <v>1</v>
      </c>
      <c r="P50" s="115" t="n">
        <f aca="false">VLOOKUP(6,AB44:AL49,4,0)</f>
        <v>0</v>
      </c>
      <c r="Q50" s="115" t="n">
        <f aca="false">VLOOKUP(6,AB44:AL49,5,0)</f>
        <v>2</v>
      </c>
      <c r="R50" s="115" t="str">
        <f aca="false">VLOOKUP(6,AB44:AL49,6,0) &amp; " - " &amp; VLOOKUP(6,AB44:AL49,7,0)</f>
        <v>1 - 3</v>
      </c>
      <c r="S50" s="116" t="n">
        <f aca="false">O50*3+P50</f>
        <v>3</v>
      </c>
      <c r="U50" s="65" t="n">
        <f aca="false">DATE(2016,6,26)+TIME(5,0,0)+gmt_delta</f>
        <v>42547.75</v>
      </c>
      <c r="V50" s="66" t="str">
        <f aca="false">IF(OR(BB18="",BB19=""),"",IF(BB18&gt;BB19,BA18,IF(BB18&lt;BB19,BA19,IF(OR(BC18="",BC19=""),"draw",IF(BC18&gt;BC19,BA18,IF(BC18&lt;BC19,BA19,"draw"))))))</f>
        <v>Wales</v>
      </c>
      <c r="W50" s="66" t="str">
        <f aca="false">IF(OR(V50="",V50="draw"),INDEX(T,90,lang),V50)</f>
        <v>Wales</v>
      </c>
      <c r="X50" s="0"/>
      <c r="AA50" s="67" t="str">
        <f aca="false">AA44&amp;AA45&amp;AA46&amp;AA47&amp;AA48&amp;AA49</f>
        <v>BCEF</v>
      </c>
      <c r="AC50" s="0"/>
      <c r="AD50" s="65" t="n">
        <f aca="false">MAX(AD44:AD49)-MIN(AD44:AD49)+1</f>
        <v>2</v>
      </c>
      <c r="AE50" s="65" t="n">
        <f aca="false">MAX(AE44:AE49)-MIN(AE44:AE49)+1</f>
        <v>4</v>
      </c>
      <c r="AF50" s="65" t="n">
        <f aca="false">MAX(AF44:AF49)-MIN(AF44:AF49)+1</f>
        <v>3</v>
      </c>
      <c r="AG50" s="65" t="n">
        <f aca="false">MAX(AG44:AG49)-MIN(AG44:AG49)+1</f>
        <v>4</v>
      </c>
      <c r="AH50" s="65" t="n">
        <f aca="false">MAX(AH44:AH49)-MIN(AH44:AH49)+1</f>
        <v>3</v>
      </c>
      <c r="AI50" s="0"/>
      <c r="AJ50" s="65" t="n">
        <f aca="false">MAX(AJ44:AJ49)-AJ51+1</f>
        <v>3</v>
      </c>
      <c r="AK50" s="0"/>
      <c r="AL50" s="65" t="n">
        <f aca="false">MAX(AL44:AL49)-MIN(AL44:AL49)+1</f>
        <v>2</v>
      </c>
      <c r="AN50" s="65"/>
      <c r="AQ50" s="0"/>
      <c r="AR50" s="0"/>
      <c r="AS50" s="0"/>
      <c r="AT50" s="0"/>
      <c r="AU50" s="0"/>
    </row>
    <row r="51" customFormat="false" ht="12.75" hidden="false" customHeight="false" outlineLevel="0" collapsed="false"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U51" s="65" t="n">
        <f aca="false">DATE(2016,6,26)+TIME(8,0,0)+gmt_delta</f>
        <v>42547.875</v>
      </c>
      <c r="V51" s="66" t="str">
        <f aca="false">IF(OR(BB22="",BB23=""),"",IF(BB22&gt;BB23,BA22,IF(BB22&lt;BB23,BA23,IF(OR(BC22="",BC23=""),"draw",IF(BC22&gt;BC23,BA22,IF(BC22&lt;BC23,BA23,"draw"))))))</f>
        <v>Belgium</v>
      </c>
      <c r="W51" s="66" t="str">
        <f aca="false">IF(OR(V51="",V51="draw"),INDEX(T,91,lang),V51)</f>
        <v>Belgium</v>
      </c>
      <c r="X51" s="0"/>
      <c r="AA51" s="0"/>
      <c r="AC51" s="0"/>
      <c r="AD51" s="0"/>
      <c r="AE51" s="0"/>
      <c r="AF51" s="0"/>
      <c r="AG51" s="0"/>
      <c r="AH51" s="0"/>
      <c r="AI51" s="0"/>
      <c r="AJ51" s="65" t="n">
        <f aca="false">MIN(AJ44:AJ49)</f>
        <v>-2</v>
      </c>
      <c r="AK51" s="0"/>
      <c r="AN51" s="65"/>
      <c r="AQ51" s="0"/>
      <c r="AR51" s="0"/>
      <c r="AS51" s="0"/>
      <c r="AT51" s="0"/>
      <c r="AU51" s="0"/>
    </row>
    <row r="52" customFormat="false" ht="12.75" hidden="false" customHeight="false" outlineLevel="0" collapsed="false">
      <c r="B52" s="136" t="s">
        <v>2475</v>
      </c>
      <c r="C52" s="136"/>
      <c r="D52" s="136"/>
      <c r="E52" s="136"/>
      <c r="F52" s="71"/>
      <c r="G52" s="72" t="s">
        <v>2476</v>
      </c>
      <c r="H52" s="72"/>
      <c r="I52" s="72"/>
      <c r="J52" s="72"/>
      <c r="K52" s="72"/>
      <c r="L52" s="0"/>
      <c r="M52" s="137" t="s">
        <v>2477</v>
      </c>
      <c r="N52" s="137"/>
      <c r="O52" s="137"/>
      <c r="P52" s="137" t="s">
        <v>2478</v>
      </c>
      <c r="Q52" s="137"/>
      <c r="R52" s="137"/>
      <c r="S52" s="137"/>
      <c r="U52" s="65" t="n">
        <f aca="false">DATE(2016,6,27)+TIME(5,0,0)+gmt_delta</f>
        <v>42548.75</v>
      </c>
      <c r="V52" s="66" t="str">
        <f aca="false">IF(OR(BB34="",BB35=""),"",IF(BB34&gt;BB35,BA34,IF(BB34&lt;BB35,BA35,IF(OR(BC34="",BC35=""),"draw",IF(BC34&gt;BC35,BA34,IF(BC34&lt;BC35,BA35,"draw"))))))</f>
        <v>Franciaország</v>
      </c>
      <c r="W52" s="66" t="str">
        <f aca="false">IF(OR(V52="",V52="draw"),INDEX(T,92,lang),V52)</f>
        <v>Franciaország</v>
      </c>
      <c r="X52" s="0"/>
      <c r="AA52" s="0"/>
      <c r="AC52" s="0"/>
      <c r="AD52" s="0"/>
      <c r="AE52" s="0"/>
      <c r="AF52" s="0"/>
      <c r="AG52" s="0"/>
      <c r="AH52" s="0"/>
      <c r="AI52" s="0"/>
      <c r="AJ52" s="0"/>
      <c r="AK52" s="0"/>
      <c r="AN52" s="65"/>
      <c r="AQ52" s="0"/>
      <c r="AR52" s="0"/>
      <c r="AS52" s="0"/>
      <c r="AT52" s="0"/>
      <c r="AU52" s="0"/>
    </row>
    <row r="53" customFormat="false" ht="12.75" hidden="false" customHeight="false" outlineLevel="0" collapsed="false">
      <c r="B53" s="136"/>
      <c r="C53" s="136"/>
      <c r="D53" s="136"/>
      <c r="E53" s="136"/>
      <c r="F53" s="71"/>
      <c r="G53" s="72"/>
      <c r="H53" s="72"/>
      <c r="I53" s="72"/>
      <c r="J53" s="72"/>
      <c r="K53" s="72"/>
      <c r="L53" s="0"/>
      <c r="M53" s="137"/>
      <c r="N53" s="137"/>
      <c r="O53" s="137"/>
      <c r="P53" s="137"/>
      <c r="Q53" s="137"/>
      <c r="R53" s="137"/>
      <c r="S53" s="137"/>
      <c r="U53" s="65" t="n">
        <f aca="false">DATE(2016,6,27)+TIME(8,0,0)+gmt_delta</f>
        <v>42548.875</v>
      </c>
      <c r="V53" s="66" t="str">
        <f aca="false">IF(OR(BB38="",BB39=""),"",IF(BB38&gt;BB39,BA38,IF(BB38&lt;BB39,BA39,IF(OR(BC38="",BC39=""),"draw",IF(BC38&gt;BC39,BA38,IF(BC38&lt;BC39,BA39,"draw"))))))</f>
        <v>Izland</v>
      </c>
      <c r="W53" s="66" t="str">
        <f aca="false">IF(OR(V53="",V53="draw"),INDEX(T,93,lang),V53)</f>
        <v>Izland</v>
      </c>
      <c r="X53" s="0"/>
      <c r="AA53" s="0"/>
      <c r="AC53" s="138" t="s">
        <v>2444</v>
      </c>
      <c r="AD53" s="138" t="str">
        <f aca="false">$AC$46</f>
        <v>Észak-Írország</v>
      </c>
      <c r="AE53" s="138" t="str">
        <f aca="false">$AC$47</f>
        <v>Törökország</v>
      </c>
      <c r="AF53" s="138" t="str">
        <f aca="false">$AC$44</f>
        <v>Albánia</v>
      </c>
      <c r="AG53" s="138" t="str">
        <f aca="false">$AC$45</f>
        <v>Szlovákia</v>
      </c>
      <c r="AH53" s="138" t="s">
        <v>661</v>
      </c>
      <c r="AI53" s="138" t="s">
        <v>404</v>
      </c>
      <c r="AJ53" s="138" t="s">
        <v>2479</v>
      </c>
      <c r="AK53" s="138" t="s">
        <v>414</v>
      </c>
      <c r="AN53" s="65"/>
      <c r="AQ53" s="0"/>
      <c r="AR53" s="0"/>
      <c r="AS53" s="0"/>
      <c r="AT53" s="0"/>
      <c r="AU53" s="0"/>
    </row>
    <row r="54" customFormat="false" ht="12.75" hidden="false" customHeight="false" outlineLevel="0" collapsed="false">
      <c r="L54" s="0"/>
      <c r="U54" s="0"/>
      <c r="V54" s="0"/>
      <c r="W54" s="0"/>
      <c r="X54" s="0"/>
      <c r="AA54" s="0"/>
      <c r="AC54" s="138" t="s">
        <v>2449</v>
      </c>
      <c r="AD54" s="138" t="str">
        <f aca="false">$AC$46</f>
        <v>Észak-Írország</v>
      </c>
      <c r="AE54" s="138" t="str">
        <f aca="false">$AC$44</f>
        <v>Albánia</v>
      </c>
      <c r="AF54" s="138" t="str">
        <f aca="false">$AC$45</f>
        <v>Szlovákia</v>
      </c>
      <c r="AG54" s="138" t="str">
        <f aca="false">$AC$48</f>
        <v>Ír Köztársaság</v>
      </c>
      <c r="AH54" s="138" t="s">
        <v>661</v>
      </c>
      <c r="AI54" s="138" t="s">
        <v>2479</v>
      </c>
      <c r="AJ54" s="138" t="s">
        <v>414</v>
      </c>
      <c r="AK54" s="138" t="s">
        <v>397</v>
      </c>
      <c r="AQ54" s="65"/>
      <c r="AR54" s="65"/>
      <c r="AS54" s="65"/>
      <c r="AT54" s="65"/>
      <c r="AU54" s="65"/>
    </row>
    <row r="55" customFormat="false" ht="12.75" hidden="false" customHeight="false" outlineLevel="0" collapsed="false">
      <c r="L55" s="0"/>
      <c r="U55" s="0"/>
      <c r="V55" s="0"/>
      <c r="W55" s="0"/>
      <c r="X55" s="0"/>
      <c r="AA55" s="0"/>
      <c r="AC55" s="138" t="s">
        <v>2451</v>
      </c>
      <c r="AD55" s="138" t="str">
        <f aca="false">$AC$46</f>
        <v>Észak-Írország</v>
      </c>
      <c r="AE55" s="138" t="str">
        <f aca="false">$AC$44</f>
        <v>Albánia</v>
      </c>
      <c r="AF55" s="138" t="str">
        <f aca="false">$AC$45</f>
        <v>Szlovákia</v>
      </c>
      <c r="AG55" s="138" t="str">
        <f aca="false">$AC$49</f>
        <v>Portugália</v>
      </c>
      <c r="AH55" s="138" t="s">
        <v>661</v>
      </c>
      <c r="AI55" s="138" t="s">
        <v>2479</v>
      </c>
      <c r="AJ55" s="138" t="s">
        <v>414</v>
      </c>
      <c r="AK55" s="138" t="s">
        <v>369</v>
      </c>
    </row>
    <row r="56" customFormat="false" ht="12.75" hidden="false" customHeight="true" outlineLevel="0" collapsed="false">
      <c r="L56" s="63"/>
      <c r="U56" s="0"/>
      <c r="V56" s="0"/>
      <c r="W56" s="0"/>
      <c r="X56" s="0"/>
      <c r="AA56" s="0"/>
      <c r="AC56" s="138" t="s">
        <v>2453</v>
      </c>
      <c r="AD56" s="138" t="str">
        <f aca="false">$AC$47</f>
        <v>Törökország</v>
      </c>
      <c r="AE56" s="138" t="str">
        <f aca="false">$AC$44</f>
        <v>Albánia</v>
      </c>
      <c r="AF56" s="138" t="str">
        <f aca="false">$AC$45</f>
        <v>Szlovákia</v>
      </c>
      <c r="AG56" s="138" t="str">
        <f aca="false">$AC$48</f>
        <v>Ír Köztársaság</v>
      </c>
      <c r="AH56" s="138" t="s">
        <v>404</v>
      </c>
      <c r="AI56" s="138" t="s">
        <v>2479</v>
      </c>
      <c r="AJ56" s="138" t="s">
        <v>414</v>
      </c>
      <c r="AK56" s="138" t="s">
        <v>397</v>
      </c>
    </row>
    <row r="57" customFormat="false" ht="12.75" hidden="false" customHeight="true" outlineLevel="0" collapsed="false">
      <c r="L57" s="63"/>
      <c r="U57" s="65" t="n">
        <f aca="false">DATE(2016,6,30)+TIME(8,0,0)+gmt_delta</f>
        <v>42551.875</v>
      </c>
      <c r="V57" s="66" t="str">
        <f aca="false">IF(OR(BH12="",BH13=""),"",IF(BH12&gt;BH13,BG12,IF(BH12&lt;BH13,BG13,IF(OR(BI12="",BI13=""),"draw",IF(BI12&gt;BI13,BG12,IF(BI12&lt;BI13,BG13,"draw"))))))</f>
        <v>Portugália</v>
      </c>
      <c r="W57" s="66" t="str">
        <f aca="false">IF(OR(V57="",V57="draw"),INDEX(T,94,lang),V57)</f>
        <v>Portugália</v>
      </c>
      <c r="X57" s="0"/>
      <c r="AA57" s="0"/>
      <c r="AC57" s="138" t="s">
        <v>2454</v>
      </c>
      <c r="AD57" s="138" t="str">
        <f aca="false">$AC$47</f>
        <v>Törökország</v>
      </c>
      <c r="AE57" s="138" t="str">
        <f aca="false">$AC$44</f>
        <v>Albánia</v>
      </c>
      <c r="AF57" s="138" t="str">
        <f aca="false">$AC$45</f>
        <v>Szlovákia</v>
      </c>
      <c r="AG57" s="138" t="str">
        <f aca="false">$AC$49</f>
        <v>Portugália</v>
      </c>
      <c r="AH57" s="138" t="s">
        <v>404</v>
      </c>
      <c r="AI57" s="138" t="s">
        <v>2479</v>
      </c>
      <c r="AJ57" s="138" t="s">
        <v>414</v>
      </c>
      <c r="AK57" s="138" t="s">
        <v>369</v>
      </c>
    </row>
    <row r="58" customFormat="false" ht="12.75" hidden="false" customHeight="false" outlineLevel="0" collapsed="false">
      <c r="U58" s="65" t="n">
        <f aca="false">DATE(2016,7,1)+TIME(8,0,0)+gmt_delta</f>
        <v>42552.875</v>
      </c>
      <c r="V58" s="66" t="str">
        <f aca="false">IF(OR(BH20="",BH21=""),"",IF(BH20&gt;BH21,BG20,IF(BH20&lt;BH21,BG21,IF(OR(BI20="",BI21=""),"draw",IF(BI20&gt;BI21,BG20,IF(BI20&lt;BI21,BG21,"draw"))))))</f>
        <v>Wales</v>
      </c>
      <c r="W58" s="66" t="str">
        <f aca="false">IF(OR(V58="",V58="draw"),INDEX(T,95,lang),V58)</f>
        <v>Wales</v>
      </c>
      <c r="X58" s="0"/>
      <c r="AA58" s="0"/>
      <c r="AC58" s="138" t="s">
        <v>2455</v>
      </c>
      <c r="AD58" s="138" t="str">
        <f aca="false">$AC$48</f>
        <v>Ír Köztársaság</v>
      </c>
      <c r="AE58" s="138" t="str">
        <f aca="false">$AC$44</f>
        <v>Albánia</v>
      </c>
      <c r="AF58" s="138" t="str">
        <f aca="false">$AC$45</f>
        <v>Szlovákia</v>
      </c>
      <c r="AG58" s="138" t="str">
        <f aca="false">$AC$49</f>
        <v>Portugália</v>
      </c>
      <c r="AH58" s="138" t="s">
        <v>397</v>
      </c>
      <c r="AI58" s="138" t="s">
        <v>2479</v>
      </c>
      <c r="AJ58" s="138" t="s">
        <v>414</v>
      </c>
      <c r="AK58" s="138" t="s">
        <v>369</v>
      </c>
    </row>
    <row r="59" customFormat="false" ht="12.75" hidden="false" customHeight="true" outlineLevel="0" collapsed="false">
      <c r="U59" s="65" t="n">
        <f aca="false">DATE(2016,7,2)+TIME(8,0,0)+gmt_delta</f>
        <v>42553.875</v>
      </c>
      <c r="V59" s="66" t="str">
        <f aca="false">IF(OR(BH28="",BH29=""),"",IF(BH28&gt;BH29,BG28,IF(BH28&lt;BH29,BG29,IF(OR(BI28="",BI29=""),"draw",IF(BI28&gt;BI29,BG28,IF(BI28&lt;BI29,BG29,"draw"))))))</f>
        <v>Németország</v>
      </c>
      <c r="W59" s="66" t="str">
        <f aca="false">IF(OR(V59="",V59="draw"),INDEX(T,96,lang),V59)</f>
        <v>Németország</v>
      </c>
      <c r="X59" s="0"/>
      <c r="AA59" s="0"/>
      <c r="AC59" s="138" t="s">
        <v>2456</v>
      </c>
      <c r="AD59" s="138" t="str">
        <f aca="false">$AC$46</f>
        <v>Észak-Írország</v>
      </c>
      <c r="AE59" s="138" t="str">
        <f aca="false">$AC$47</f>
        <v>Törökország</v>
      </c>
      <c r="AF59" s="138" t="str">
        <f aca="false">$AC$44</f>
        <v>Albánia</v>
      </c>
      <c r="AG59" s="138" t="str">
        <f aca="false">$AC$48</f>
        <v>Ír Köztársaság</v>
      </c>
      <c r="AH59" s="138" t="s">
        <v>661</v>
      </c>
      <c r="AI59" s="138" t="s">
        <v>404</v>
      </c>
      <c r="AJ59" s="138" t="s">
        <v>2479</v>
      </c>
      <c r="AK59" s="138" t="s">
        <v>397</v>
      </c>
    </row>
    <row r="60" customFormat="false" ht="12.75" hidden="false" customHeight="true" outlineLevel="0" collapsed="false">
      <c r="U60" s="65" t="n">
        <f aca="false">DATE(2016,7,3)+TIME(8,0,0)+gmt_delta</f>
        <v>42554.875</v>
      </c>
      <c r="V60" s="66" t="str">
        <f aca="false">IF(OR(BH36="",BH37=""),"",IF(BH36&gt;BH37,BG36,IF(BH36&lt;BH37,BG37,IF(OR(BI36="",BI37=""),"draw",IF(BI36&gt;BI37,BG36,IF(BI36&lt;BI37,BG37,"draw"))))))</f>
        <v>Franciaország</v>
      </c>
      <c r="W60" s="66" t="str">
        <f aca="false">IF(OR(V60="",V60="draw"),INDEX(T,97,lang),V60)</f>
        <v>Franciaország</v>
      </c>
      <c r="X60" s="0"/>
      <c r="AA60" s="0"/>
      <c r="AC60" s="138" t="s">
        <v>2457</v>
      </c>
      <c r="AD60" s="138" t="str">
        <f aca="false">$AC$46</f>
        <v>Észak-Írország</v>
      </c>
      <c r="AE60" s="138" t="str">
        <f aca="false">$AC$47</f>
        <v>Törökország</v>
      </c>
      <c r="AF60" s="138" t="str">
        <f aca="false">$AC$44</f>
        <v>Albánia</v>
      </c>
      <c r="AG60" s="138" t="str">
        <f aca="false">$AC$49</f>
        <v>Portugália</v>
      </c>
      <c r="AH60" s="138" t="s">
        <v>661</v>
      </c>
      <c r="AI60" s="138" t="s">
        <v>404</v>
      </c>
      <c r="AJ60" s="138" t="s">
        <v>2479</v>
      </c>
      <c r="AK60" s="138" t="s">
        <v>369</v>
      </c>
    </row>
    <row r="61" customFormat="false" ht="12.75" hidden="false" customHeight="true" outlineLevel="0" collapsed="false">
      <c r="U61" s="0"/>
      <c r="V61" s="0"/>
      <c r="W61" s="0"/>
      <c r="X61" s="0"/>
      <c r="AA61" s="0"/>
      <c r="AC61" s="138" t="s">
        <v>2458</v>
      </c>
      <c r="AD61" s="138" t="str">
        <f aca="false">$AC$46</f>
        <v>Észak-Írország</v>
      </c>
      <c r="AE61" s="138" t="str">
        <f aca="false">$AC$44</f>
        <v>Albánia</v>
      </c>
      <c r="AF61" s="138" t="str">
        <f aca="false">$AC$49</f>
        <v>Portugália</v>
      </c>
      <c r="AG61" s="138" t="str">
        <f aca="false">$AC$48</f>
        <v>Ír Köztársaság</v>
      </c>
      <c r="AH61" s="138" t="s">
        <v>661</v>
      </c>
      <c r="AI61" s="138" t="s">
        <v>2479</v>
      </c>
      <c r="AJ61" s="138" t="s">
        <v>369</v>
      </c>
      <c r="AK61" s="138" t="s">
        <v>397</v>
      </c>
    </row>
    <row r="62" customFormat="false" ht="12.75" hidden="false" customHeight="true" outlineLevel="0" collapsed="false">
      <c r="U62" s="0"/>
      <c r="V62" s="0"/>
      <c r="W62" s="0"/>
      <c r="X62" s="0"/>
      <c r="AA62" s="0"/>
      <c r="AC62" s="138" t="s">
        <v>2459</v>
      </c>
      <c r="AD62" s="138" t="str">
        <f aca="false">$AC$47</f>
        <v>Törökország</v>
      </c>
      <c r="AE62" s="138" t="str">
        <f aca="false">$AC$44</f>
        <v>Albánia</v>
      </c>
      <c r="AF62" s="138" t="str">
        <f aca="false">$AC$49</f>
        <v>Portugália</v>
      </c>
      <c r="AG62" s="138" t="str">
        <f aca="false">$AC$48</f>
        <v>Ír Köztársaság</v>
      </c>
      <c r="AH62" s="138" t="s">
        <v>404</v>
      </c>
      <c r="AI62" s="138" t="s">
        <v>2479</v>
      </c>
      <c r="AJ62" s="138" t="s">
        <v>369</v>
      </c>
      <c r="AK62" s="138" t="s">
        <v>397</v>
      </c>
    </row>
    <row r="63" customFormat="false" ht="12.75" hidden="false" customHeight="true" outlineLevel="0" collapsed="false">
      <c r="U63" s="0"/>
      <c r="V63" s="0"/>
      <c r="W63" s="0"/>
      <c r="X63" s="0"/>
      <c r="AA63" s="0"/>
      <c r="AC63" s="138" t="s">
        <v>2460</v>
      </c>
      <c r="AD63" s="138" t="str">
        <f aca="false">$AC$46</f>
        <v>Észak-Írország</v>
      </c>
      <c r="AE63" s="138" t="str">
        <f aca="false">$AC$47</f>
        <v>Törökország</v>
      </c>
      <c r="AF63" s="138" t="str">
        <f aca="false">$AC$45</f>
        <v>Szlovákia</v>
      </c>
      <c r="AG63" s="138" t="str">
        <f aca="false">$AC$48</f>
        <v>Ír Köztársaság</v>
      </c>
      <c r="AH63" s="138" t="s">
        <v>661</v>
      </c>
      <c r="AI63" s="138" t="s">
        <v>404</v>
      </c>
      <c r="AJ63" s="138" t="s">
        <v>414</v>
      </c>
      <c r="AK63" s="138" t="s">
        <v>397</v>
      </c>
    </row>
    <row r="64" customFormat="false" ht="12.75" hidden="false" customHeight="true" outlineLevel="0" collapsed="false">
      <c r="U64" s="65" t="n">
        <f aca="false">DATE(2016,7,6)+TIME(8,0,0)+gmt_delta</f>
        <v>42557.875</v>
      </c>
      <c r="V64" s="66" t="str">
        <f aca="false">IF(OR(BN16="",BN17=""),"",IF(BN16&gt;BN17,BM16,IF(BN16&lt;BN17,BM17,IF(OR(BO16="",BO17=""),"draw",IF(BO16&gt;BO17,BM16,IF(BO16&lt;BO17,BM17,"draw"))))))</f>
        <v/>
      </c>
      <c r="W64" s="66" t="str">
        <f aca="false">IF(OR(V64="",V64="draw"),INDEX(T,98,lang),V64)</f>
        <v>GY49</v>
      </c>
      <c r="X64" s="66" t="str">
        <f aca="false">IF(OR(BN16="",BN17=""),"",IF(BN16&lt;BN17,BM16,IF(BN16&gt;BN17,BM17,IF(OR(BO16="",BO17=""),"draw",IF(BO16&lt;BO17,BM16,IF(BO16&gt;BO17,BM17,"draw"))))))</f>
        <v/>
      </c>
      <c r="AA64" s="0"/>
      <c r="AC64" s="138" t="s">
        <v>2461</v>
      </c>
      <c r="AD64" s="138" t="str">
        <f aca="false">$AC$46</f>
        <v>Észak-Írország</v>
      </c>
      <c r="AE64" s="138" t="str">
        <f aca="false">$AC$47</f>
        <v>Törökország</v>
      </c>
      <c r="AF64" s="138" t="str">
        <f aca="false">$AC$45</f>
        <v>Szlovákia</v>
      </c>
      <c r="AG64" s="138" t="str">
        <f aca="false">$AC$49</f>
        <v>Portugália</v>
      </c>
      <c r="AH64" s="138" t="s">
        <v>661</v>
      </c>
      <c r="AI64" s="138" t="s">
        <v>404</v>
      </c>
      <c r="AJ64" s="138" t="s">
        <v>414</v>
      </c>
      <c r="AK64" s="138" t="s">
        <v>369</v>
      </c>
    </row>
    <row r="65" customFormat="false" ht="12.75" hidden="false" customHeight="true" outlineLevel="0" collapsed="false">
      <c r="U65" s="65" t="n">
        <f aca="false">DATE(2016,7,7)+TIME(8,0,0)+gmt_delta</f>
        <v>42558.875</v>
      </c>
      <c r="V65" s="66" t="str">
        <f aca="false">IF(OR(BN32="",BN33=""),"",IF(BN32&gt;BN33,BM32,IF(BN32&lt;BN33,BM33,IF(OR(BO32="",BO33=""),"draw",IF(BO32&gt;BO33,BM32,IF(BO32&lt;BO33,BM33,"draw"))))))</f>
        <v/>
      </c>
      <c r="W65" s="66" t="str">
        <f aca="false">IF(OR(V65="",V65="draw"),INDEX(T,99,lang),V65)</f>
        <v>GY50</v>
      </c>
      <c r="X65" s="66" t="str">
        <f aca="false">IF(OR(BN32="",BN33=""),"",IF(BN32&lt;BN33,BM32,IF(BN32&gt;BN33,BM33,IF(OR(BO32="",BO33=""),"draw",IF(BO32&lt;BO33,BM32,IF(BO32&gt;BO33,BM33,"draw"))))))</f>
        <v/>
      </c>
      <c r="AA65" s="0"/>
      <c r="AC65" s="138" t="s">
        <v>2462</v>
      </c>
      <c r="AD65" s="138" t="str">
        <f aca="false">$AC$48</f>
        <v>Ír Köztársaság</v>
      </c>
      <c r="AE65" s="138" t="str">
        <f aca="false">$AC$46</f>
        <v>Észak-Írország</v>
      </c>
      <c r="AF65" s="138" t="str">
        <f aca="false">$AC$45</f>
        <v>Szlovákia</v>
      </c>
      <c r="AG65" s="138" t="str">
        <f aca="false">$AC$49</f>
        <v>Portugália</v>
      </c>
      <c r="AH65" s="138" t="s">
        <v>397</v>
      </c>
      <c r="AI65" s="138" t="s">
        <v>661</v>
      </c>
      <c r="AJ65" s="138" t="s">
        <v>414</v>
      </c>
      <c r="AK65" s="138" t="s">
        <v>369</v>
      </c>
    </row>
    <row r="66" customFormat="false" ht="12.75" hidden="false" customHeight="true" outlineLevel="0" collapsed="false">
      <c r="U66" s="0"/>
      <c r="V66" s="0"/>
      <c r="W66" s="0"/>
      <c r="AA66" s="0"/>
      <c r="AC66" s="138" t="s">
        <v>2463</v>
      </c>
      <c r="AD66" s="138" t="str">
        <f aca="false">$AC$48</f>
        <v>Ír Köztársaság</v>
      </c>
      <c r="AE66" s="138" t="str">
        <f aca="false">$AC$47</f>
        <v>Törökország</v>
      </c>
      <c r="AF66" s="138" t="str">
        <f aca="false">$AC$45</f>
        <v>Szlovákia</v>
      </c>
      <c r="AG66" s="138" t="str">
        <f aca="false">$AC$49</f>
        <v>Portugália</v>
      </c>
      <c r="AH66" s="138" t="s">
        <v>397</v>
      </c>
      <c r="AI66" s="138" t="s">
        <v>404</v>
      </c>
      <c r="AJ66" s="138" t="s">
        <v>414</v>
      </c>
      <c r="AK66" s="138" t="s">
        <v>369</v>
      </c>
    </row>
    <row r="67" customFormat="false" ht="12.75" hidden="false" customHeight="true" outlineLevel="0" collapsed="false">
      <c r="U67" s="0"/>
      <c r="V67" s="0"/>
      <c r="W67" s="0"/>
      <c r="AA67" s="0"/>
      <c r="AC67" s="138" t="s">
        <v>2464</v>
      </c>
      <c r="AD67" s="138" t="str">
        <f aca="false">$AC$46</f>
        <v>Észak-Írország</v>
      </c>
      <c r="AE67" s="138" t="str">
        <f aca="false">$AC$47</f>
        <v>Törökország</v>
      </c>
      <c r="AF67" s="138" t="str">
        <f aca="false">$AC$49</f>
        <v>Portugália</v>
      </c>
      <c r="AG67" s="138" t="str">
        <f aca="false">$AC$48</f>
        <v>Ír Köztársaság</v>
      </c>
      <c r="AH67" s="138" t="s">
        <v>661</v>
      </c>
      <c r="AI67" s="138" t="s">
        <v>404</v>
      </c>
      <c r="AJ67" s="138" t="s">
        <v>369</v>
      </c>
      <c r="AK67" s="138" t="s">
        <v>397</v>
      </c>
    </row>
    <row r="68" customFormat="false" ht="12.75" hidden="false" customHeight="true" outlineLevel="0" collapsed="false">
      <c r="U68" s="0"/>
      <c r="V68" s="0"/>
      <c r="W68" s="0"/>
      <c r="AA68" s="0"/>
    </row>
    <row r="69" customFormat="false" ht="12.75" hidden="false" customHeight="true" outlineLevel="0" collapsed="false">
      <c r="U69" s="65" t="n">
        <f aca="false">DATE(2016,7,12)+TIME(9,0,0)+gmt_delta</f>
        <v>42563.9166666667</v>
      </c>
      <c r="V69" s="0"/>
      <c r="W69" s="66" t="e">
        <f aca="false">IF(OR(#REF!="",#REF!=""),"",IF(#REF!&gt;#REF!,#REF!,IF(#REF!&lt;#REF!,#REF!,IF(OR(#REF!="",#REF!=""),"",IF(#REF!&gt;#REF!,#REF!,IF(#REF!&lt;#REF!,#REF!,""))))))</f>
        <v>#VALUE!</v>
      </c>
      <c r="AA69" s="0"/>
    </row>
    <row r="70" customFormat="false" ht="12.75" hidden="false" customHeight="true" outlineLevel="0" collapsed="false">
      <c r="U70" s="0"/>
      <c r="V70" s="0"/>
      <c r="W70" s="0"/>
      <c r="AA70" s="0"/>
    </row>
    <row r="71" customFormat="false" ht="12.75" hidden="false" customHeight="true" outlineLevel="0" collapsed="false">
      <c r="U71" s="0"/>
      <c r="V71" s="0"/>
      <c r="W71" s="0"/>
      <c r="AA71" s="0"/>
    </row>
    <row r="72" customFormat="false" ht="12.75" hidden="false" customHeight="true" outlineLevel="0" collapsed="false">
      <c r="U72" s="0"/>
      <c r="V72" s="0"/>
      <c r="W72" s="0"/>
      <c r="AA72" s="0"/>
    </row>
    <row r="73" customFormat="false" ht="12.75" hidden="false" customHeight="true" outlineLevel="0" collapsed="false">
      <c r="U73" s="65" t="n">
        <f aca="false">DATE(2016,7,10)+TIME(8,0,0)+gmt_delta</f>
        <v>42561.875</v>
      </c>
      <c r="V73" s="66" t="str">
        <f aca="false">IF(OR(BT23="",BT24=""),"",IF(BT23&gt;BT24,BS23,IF(BT23&lt;BT24,BS24,IF(OR(BU23="",BU24=""),"",IF(BU23&gt;BU24,BS23,IF(BU23&lt;BU24,BS24,""))))))</f>
        <v/>
      </c>
      <c r="W73" s="66" t="str">
        <f aca="false">V73</f>
        <v/>
      </c>
      <c r="AA73" s="0"/>
    </row>
    <row r="74" customFormat="false" ht="12.75" hidden="false" customHeight="true" outlineLevel="0" collapsed="false">
      <c r="AA74" s="0"/>
    </row>
    <row r="75" customFormat="false" ht="12.75" hidden="false" customHeight="true" outlineLevel="0" collapsed="false">
      <c r="AA75" s="0"/>
    </row>
    <row r="76" customFormat="false" ht="12.75" hidden="false" customHeight="true" outlineLevel="0" collapsed="false">
      <c r="AA76" s="66" t="str">
        <f aca="false">IF(OR(X64="",X64="draw"),INDEX(T,100,lang),X64)</f>
        <v>V61</v>
      </c>
    </row>
    <row r="77" customFormat="false" ht="12.75" hidden="false" customHeight="true" outlineLevel="0" collapsed="false">
      <c r="AA77" s="66" t="str">
        <f aca="false">IF(OR(X65="",X65="draw"),INDEX(T,101,lang),X65)</f>
        <v>V62</v>
      </c>
    </row>
  </sheetData>
  <sheetProtection sheet="true" objects="true" scenarios="true"/>
  <mergeCells count="65">
    <mergeCell ref="A1:S1"/>
    <mergeCell ref="C5:I6"/>
    <mergeCell ref="R6:S6"/>
    <mergeCell ref="AZ6:BC7"/>
    <mergeCell ref="BF6:BI7"/>
    <mergeCell ref="BL6:BO7"/>
    <mergeCell ref="BR6:BU7"/>
    <mergeCell ref="A8:K9"/>
    <mergeCell ref="I10:K10"/>
    <mergeCell ref="AZ10:AZ11"/>
    <mergeCell ref="I11:K11"/>
    <mergeCell ref="I12:K12"/>
    <mergeCell ref="BF12:BF13"/>
    <mergeCell ref="I13:K13"/>
    <mergeCell ref="I14:K14"/>
    <mergeCell ref="AZ14:AZ15"/>
    <mergeCell ref="I15:K15"/>
    <mergeCell ref="I16:K16"/>
    <mergeCell ref="BL16:BL17"/>
    <mergeCell ref="I17:K17"/>
    <mergeCell ref="I18:K18"/>
    <mergeCell ref="AZ18:AZ19"/>
    <mergeCell ref="I19:K19"/>
    <mergeCell ref="I20:K20"/>
    <mergeCell ref="BF20:BF21"/>
    <mergeCell ref="I21:K21"/>
    <mergeCell ref="I22:K22"/>
    <mergeCell ref="AZ22:AZ23"/>
    <mergeCell ref="I23:K23"/>
    <mergeCell ref="BR23:BR24"/>
    <mergeCell ref="I24:K24"/>
    <mergeCell ref="I25:K25"/>
    <mergeCell ref="I26:K26"/>
    <mergeCell ref="AZ26:AZ27"/>
    <mergeCell ref="I27:K27"/>
    <mergeCell ref="I28:K28"/>
    <mergeCell ref="BF28:BF29"/>
    <mergeCell ref="I29:K29"/>
    <mergeCell ref="I30:K30"/>
    <mergeCell ref="AZ30:AZ31"/>
    <mergeCell ref="I31:K31"/>
    <mergeCell ref="I32:K32"/>
    <mergeCell ref="BL32:BL33"/>
    <mergeCell ref="I33:K33"/>
    <mergeCell ref="I34:K34"/>
    <mergeCell ref="AZ34:AZ35"/>
    <mergeCell ref="I35:K35"/>
    <mergeCell ref="I36:K36"/>
    <mergeCell ref="BF36:BF37"/>
    <mergeCell ref="I37:K37"/>
    <mergeCell ref="I38:K38"/>
    <mergeCell ref="AZ38:AZ39"/>
    <mergeCell ref="I39:K39"/>
    <mergeCell ref="I40:K40"/>
    <mergeCell ref="I41:K41"/>
    <mergeCell ref="BK41:BO42"/>
    <mergeCell ref="BP41:BU42"/>
    <mergeCell ref="I42:K42"/>
    <mergeCell ref="I43:K43"/>
    <mergeCell ref="I44:K44"/>
    <mergeCell ref="I45:K45"/>
    <mergeCell ref="B52:E53"/>
    <mergeCell ref="G52:K53"/>
    <mergeCell ref="M52:O53"/>
    <mergeCell ref="P52:S53"/>
  </mergeCells>
  <conditionalFormatting sqref="F10:F45">
    <cfRule type="expression" priority="2" aboveAverage="0" equalAverage="0" bottom="0" percent="0" rank="0" text="" dxfId="0">
      <formula>IF(AND($F10&gt;$G10,ISNUMBER($F10),ISNUMBER($G10)),1,0)</formula>
    </cfRule>
  </conditionalFormatting>
  <conditionalFormatting sqref="G10:G45">
    <cfRule type="expression" priority="3" aboveAverage="0" equalAverage="0" bottom="0" percent="0" rank="0" text="" dxfId="1">
      <formula>IF(AND($F10&lt;$G10,ISNUMBER($F10),ISNUMBER($G10)),1,0)</formula>
    </cfRule>
  </conditionalFormatting>
  <conditionalFormatting sqref="E10:E45">
    <cfRule type="expression" priority="4" aboveAverage="0" equalAverage="0" bottom="0" percent="0" rank="0" text="" dxfId="2">
      <formula>IF(AND($F10&gt;$G10,ISNUMBER($F10),ISNUMBER($G10)),1,0)</formula>
    </cfRule>
    <cfRule type="expression" priority="5" aboveAverage="0" equalAverage="0" bottom="0" percent="0" rank="0" text="" dxfId="3">
      <formula>IF(AND($F10&lt;$G10,ISNUMBER($F10),ISNUMBER($G10)),1,0)</formula>
    </cfRule>
    <cfRule type="expression" priority="6" aboveAverage="0" equalAverage="0" bottom="0" percent="0" rank="0" text="" dxfId="4">
      <formula>IF(AND($F10=$G10,ISNUMBER($F10),ISNUMBER($G10)),1,0)</formula>
    </cfRule>
  </conditionalFormatting>
  <conditionalFormatting sqref="H10:H45">
    <cfRule type="expression" priority="7" aboveAverage="0" equalAverage="0" bottom="0" percent="0" rank="0" text="" dxfId="5">
      <formula>IF(AND($F10&lt;$G10,ISNUMBER($F10),ISNUMBER($G10)),1,0)</formula>
    </cfRule>
    <cfRule type="expression" priority="8" aboveAverage="0" equalAverage="0" bottom="0" percent="0" rank="0" text="" dxfId="6">
      <formula>IF(AND($F10&gt;$G10,ISNUMBER($F10),ISNUMBER($G10)),1,0)</formula>
    </cfRule>
    <cfRule type="expression" priority="9" aboveAverage="0" equalAverage="0" bottom="0" percent="0" rank="0" text="" dxfId="7">
      <formula>IF(AND($F10=$G10,ISNUMBER($F10),ISNUMBER($G10)),1,0)</formula>
    </cfRule>
  </conditionalFormatting>
  <conditionalFormatting sqref="BT23">
    <cfRule type="expression" priority="10" aboveAverage="0" equalAverage="0" bottom="0" percent="0" rank="0" text="" dxfId="8">
      <formula>IF(AND($BT23&gt;$BT24,ISNUMBER($BT23),ISNUMBER($BT24)),1,0)</formula>
    </cfRule>
  </conditionalFormatting>
  <conditionalFormatting sqref="BT24">
    <cfRule type="expression" priority="11" aboveAverage="0" equalAverage="0" bottom="0" percent="0" rank="0" text="" dxfId="9">
      <formula>IF(AND($BT23&lt;$BT24,ISNUMBER($BT23),ISNUMBER($BT24)),1,0)</formula>
    </cfRule>
  </conditionalFormatting>
  <conditionalFormatting sqref="BU23">
    <cfRule type="expression" priority="12" aboveAverage="0" equalAverage="0" bottom="0" percent="0" rank="0" text="" dxfId="10">
      <formula>IF(AND($BU23&gt;$BU24,ISNUMBER($BU23),ISNUMBER($BU24)),1,0)</formula>
    </cfRule>
  </conditionalFormatting>
  <conditionalFormatting sqref="BU24">
    <cfRule type="expression" priority="13" aboveAverage="0" equalAverage="0" bottom="0" percent="0" rank="0" text="" dxfId="11">
      <formula>IF(AND($BU23&lt;$BU24,ISNUMBER($BU23),ISNUMBER($BU24)),1,0)</formula>
    </cfRule>
  </conditionalFormatting>
  <conditionalFormatting sqref="BA10">
    <cfRule type="expression" priority="14" aboveAverage="0" equalAverage="0" bottom="0" percent="0" rank="0" text="" dxfId="12">
      <formula>IF($BA10=$W46,1,0)</formula>
    </cfRule>
    <cfRule type="expression" priority="15" aboveAverage="0" equalAverage="0" bottom="0" percent="0" rank="0" text="" dxfId="0">
      <formula>IF($BA11=$W46,1,0)</formula>
    </cfRule>
  </conditionalFormatting>
  <conditionalFormatting sqref="BA11">
    <cfRule type="expression" priority="16" aboveAverage="0" equalAverage="0" bottom="0" percent="0" rank="0" text="" dxfId="13">
      <formula>IF($BA11=$W46,1,0)</formula>
    </cfRule>
    <cfRule type="expression" priority="17" aboveAverage="0" equalAverage="0" bottom="0" percent="0" rank="0" text="" dxfId="14">
      <formula>IF($BA10=$W46,1,0)</formula>
    </cfRule>
  </conditionalFormatting>
  <conditionalFormatting sqref="BA14">
    <cfRule type="expression" priority="18" aboveAverage="0" equalAverage="0" bottom="0" percent="0" rank="0" text="" dxfId="15">
      <formula>IF($BA14=$W47,1,0)</formula>
    </cfRule>
    <cfRule type="expression" priority="19" aboveAverage="0" equalAverage="0" bottom="0" percent="0" rank="0" text="" dxfId="16">
      <formula>IF($BA15=$W47,1,0)</formula>
    </cfRule>
  </conditionalFormatting>
  <conditionalFormatting sqref="BA15">
    <cfRule type="expression" priority="20" aboveAverage="0" equalAverage="0" bottom="0" percent="0" rank="0" text="" dxfId="17">
      <formula>IF($BA15=$W47,1,0)</formula>
    </cfRule>
    <cfRule type="expression" priority="21" aboveAverage="0" equalAverage="0" bottom="0" percent="0" rank="0" text="" dxfId="18">
      <formula>IF($BA14=$W47,1,0)</formula>
    </cfRule>
  </conditionalFormatting>
  <conditionalFormatting sqref="BA34">
    <cfRule type="expression" priority="22" aboveAverage="0" equalAverage="0" bottom="0" percent="0" rank="0" text="" dxfId="19">
      <formula>IF($BA34=$W52,1,0)</formula>
    </cfRule>
    <cfRule type="expression" priority="23" aboveAverage="0" equalAverage="0" bottom="0" percent="0" rank="0" text="" dxfId="20">
      <formula>IF($BA35=$W52,1,0)</formula>
    </cfRule>
  </conditionalFormatting>
  <conditionalFormatting sqref="BA35">
    <cfRule type="expression" priority="24" aboveAverage="0" equalAverage="0" bottom="0" percent="0" rank="0" text="" dxfId="21">
      <formula>IF($BA35=$W52,1,0)</formula>
    </cfRule>
    <cfRule type="expression" priority="25" aboveAverage="0" equalAverage="0" bottom="0" percent="0" rank="0" text="" dxfId="22">
      <formula>IF($BA34=$W52,1,0)</formula>
    </cfRule>
  </conditionalFormatting>
  <conditionalFormatting sqref="BA38">
    <cfRule type="expression" priority="26" aboveAverage="0" equalAverage="0" bottom="0" percent="0" rank="0" text="" dxfId="23">
      <formula>IF($BA38=$W53,1,0)</formula>
    </cfRule>
    <cfRule type="expression" priority="27" aboveAverage="0" equalAverage="0" bottom="0" percent="0" rank="0" text="" dxfId="24">
      <formula>IF($BA39=$W53,1,0)</formula>
    </cfRule>
  </conditionalFormatting>
  <conditionalFormatting sqref="BA39">
    <cfRule type="expression" priority="28" aboveAverage="0" equalAverage="0" bottom="0" percent="0" rank="0" text="" dxfId="25">
      <formula>IF($BA39=$W53,1,0)</formula>
    </cfRule>
    <cfRule type="expression" priority="29" aboveAverage="0" equalAverage="0" bottom="0" percent="0" rank="0" text="" dxfId="26">
      <formula>IF($BA38=$W53,1,0)</formula>
    </cfRule>
  </conditionalFormatting>
  <conditionalFormatting sqref="BA26">
    <cfRule type="expression" priority="30" aboveAverage="0" equalAverage="0" bottom="0" percent="0" rank="0" text="" dxfId="27">
      <formula>IF($BA26=$W48,1,0)</formula>
    </cfRule>
    <cfRule type="expression" priority="31" aboveAverage="0" equalAverage="0" bottom="0" percent="0" rank="0" text="" dxfId="28">
      <formula>IF($BA27=$W48,1,0)</formula>
    </cfRule>
  </conditionalFormatting>
  <conditionalFormatting sqref="BA27">
    <cfRule type="expression" priority="32" aboveAverage="0" equalAverage="0" bottom="0" percent="0" rank="0" text="" dxfId="29">
      <formula>IF($BA27=$W48,1,0)</formula>
    </cfRule>
    <cfRule type="expression" priority="33" aboveAverage="0" equalAverage="0" bottom="0" percent="0" rank="0" text="" dxfId="30">
      <formula>IF($BA26=$W48,1,0)</formula>
    </cfRule>
  </conditionalFormatting>
  <conditionalFormatting sqref="BA30">
    <cfRule type="expression" priority="34" aboveAverage="0" equalAverage="0" bottom="0" percent="0" rank="0" text="" dxfId="31">
      <formula>IF($BA30=$W49,1,0)</formula>
    </cfRule>
    <cfRule type="expression" priority="35" aboveAverage="0" equalAverage="0" bottom="0" percent="0" rank="0" text="" dxfId="32">
      <formula>IF($BA31=$W49,1,0)</formula>
    </cfRule>
  </conditionalFormatting>
  <conditionalFormatting sqref="BA31">
    <cfRule type="expression" priority="36" aboveAverage="0" equalAverage="0" bottom="0" percent="0" rank="0" text="" dxfId="33">
      <formula>IF($BA31=$W49,1,0)</formula>
    </cfRule>
    <cfRule type="expression" priority="37" aboveAverage="0" equalAverage="0" bottom="0" percent="0" rank="0" text="" dxfId="34">
      <formula>IF($BA30=$W49,1,0)</formula>
    </cfRule>
  </conditionalFormatting>
  <conditionalFormatting sqref="BA18">
    <cfRule type="expression" priority="38" aboveAverage="0" equalAverage="0" bottom="0" percent="0" rank="0" text="" dxfId="35">
      <formula>IF($BA18=$W50,1,0)</formula>
    </cfRule>
    <cfRule type="expression" priority="39" aboveAverage="0" equalAverage="0" bottom="0" percent="0" rank="0" text="" dxfId="36">
      <formula>IF($BA19=$W50,1,0)</formula>
    </cfRule>
  </conditionalFormatting>
  <conditionalFormatting sqref="BA19">
    <cfRule type="expression" priority="40" aboveAverage="0" equalAverage="0" bottom="0" percent="0" rank="0" text="" dxfId="37">
      <formula>IF($BA19=$W50,1,0)</formula>
    </cfRule>
    <cfRule type="expression" priority="41" aboveAverage="0" equalAverage="0" bottom="0" percent="0" rank="0" text="" dxfId="38">
      <formula>IF($BA18=$W50,1,0)</formula>
    </cfRule>
  </conditionalFormatting>
  <conditionalFormatting sqref="BA22">
    <cfRule type="expression" priority="42" aboveAverage="0" equalAverage="0" bottom="0" percent="0" rank="0" text="" dxfId="39">
      <formula>IF($BA22=$W51,1,0)</formula>
    </cfRule>
    <cfRule type="expression" priority="43" aboveAverage="0" equalAverage="0" bottom="0" percent="0" rank="0" text="" dxfId="40">
      <formula>IF($BA23=$W51,1,0)</formula>
    </cfRule>
  </conditionalFormatting>
  <conditionalFormatting sqref="BA23">
    <cfRule type="expression" priority="44" aboveAverage="0" equalAverage="0" bottom="0" percent="0" rank="0" text="" dxfId="41">
      <formula>IF($BA23=$W51,1,0)</formula>
    </cfRule>
    <cfRule type="expression" priority="45" aboveAverage="0" equalAverage="0" bottom="0" percent="0" rank="0" text="" dxfId="42">
      <formula>IF($BA22=$W51,1,0)</formula>
    </cfRule>
  </conditionalFormatting>
  <conditionalFormatting sqref="BG12">
    <cfRule type="expression" priority="46" aboveAverage="0" equalAverage="0" bottom="0" percent="0" rank="0" text="" dxfId="43">
      <formula>IF($BG12=$W57,1,0)</formula>
    </cfRule>
    <cfRule type="expression" priority="47" aboveAverage="0" equalAverage="0" bottom="0" percent="0" rank="0" text="" dxfId="44">
      <formula>IF($BG13=$W57,1,0)</formula>
    </cfRule>
  </conditionalFormatting>
  <conditionalFormatting sqref="BG13">
    <cfRule type="expression" priority="48" aboveAverage="0" equalAverage="0" bottom="0" percent="0" rank="0" text="" dxfId="45">
      <formula>IF($BG13=$W57,1,0)</formula>
    </cfRule>
    <cfRule type="expression" priority="49" aboveAverage="0" equalAverage="0" bottom="0" percent="0" rank="0" text="" dxfId="46">
      <formula>IF($BG12=$W57,1,0)</formula>
    </cfRule>
  </conditionalFormatting>
  <conditionalFormatting sqref="BG20">
    <cfRule type="expression" priority="50" aboveAverage="0" equalAverage="0" bottom="0" percent="0" rank="0" text="" dxfId="47">
      <formula>IF($BG20=$W58,1,0)</formula>
    </cfRule>
    <cfRule type="expression" priority="51" aboveAverage="0" equalAverage="0" bottom="0" percent="0" rank="0" text="" dxfId="48">
      <formula>IF($BG21=$W58,1,0)</formula>
    </cfRule>
  </conditionalFormatting>
  <conditionalFormatting sqref="BG21">
    <cfRule type="expression" priority="52" aboveAverage="0" equalAverage="0" bottom="0" percent="0" rank="0" text="" dxfId="49">
      <formula>IF($BG21=$W58,1,0)</formula>
    </cfRule>
    <cfRule type="expression" priority="53" aboveAverage="0" equalAverage="0" bottom="0" percent="0" rank="0" text="" dxfId="50">
      <formula>IF($BG20=$W58,1,0)</formula>
    </cfRule>
  </conditionalFormatting>
  <conditionalFormatting sqref="BG28">
    <cfRule type="expression" priority="54" aboveAverage="0" equalAverage="0" bottom="0" percent="0" rank="0" text="" dxfId="51">
      <formula>IF($BG28=$W59,1,0)</formula>
    </cfRule>
    <cfRule type="expression" priority="55" aboveAverage="0" equalAverage="0" bottom="0" percent="0" rank="0" text="" dxfId="52">
      <formula>IF($BG29=$W59,1,0)</formula>
    </cfRule>
  </conditionalFormatting>
  <conditionalFormatting sqref="BG29">
    <cfRule type="expression" priority="56" aboveAverage="0" equalAverage="0" bottom="0" percent="0" rank="0" text="" dxfId="53">
      <formula>IF($BG29=$W59,1,0)</formula>
    </cfRule>
    <cfRule type="expression" priority="57" aboveAverage="0" equalAverage="0" bottom="0" percent="0" rank="0" text="" dxfId="54">
      <formula>IF($BG28=$W59,1,0)</formula>
    </cfRule>
  </conditionalFormatting>
  <conditionalFormatting sqref="BG36">
    <cfRule type="expression" priority="58" aboveAverage="0" equalAverage="0" bottom="0" percent="0" rank="0" text="" dxfId="55">
      <formula>IF($BG36=$W60,1,0)</formula>
    </cfRule>
    <cfRule type="expression" priority="59" aboveAverage="0" equalAverage="0" bottom="0" percent="0" rank="0" text="" dxfId="56">
      <formula>IF($BG37=$W60,1,0)</formula>
    </cfRule>
  </conditionalFormatting>
  <conditionalFormatting sqref="BG37">
    <cfRule type="expression" priority="60" aboveAverage="0" equalAverage="0" bottom="0" percent="0" rank="0" text="" dxfId="57">
      <formula>IF($BG37=$W60,1,0)</formula>
    </cfRule>
    <cfRule type="expression" priority="61" aboveAverage="0" equalAverage="0" bottom="0" percent="0" rank="0" text="" dxfId="58">
      <formula>IF($BG36=$W60,1,0)</formula>
    </cfRule>
  </conditionalFormatting>
  <conditionalFormatting sqref="BM16">
    <cfRule type="expression" priority="62" aboveAverage="0" equalAverage="0" bottom="0" percent="0" rank="0" text="" dxfId="59">
      <formula>IF($BM16=$W64,1,0)</formula>
    </cfRule>
    <cfRule type="expression" priority="63" aboveAverage="0" equalAverage="0" bottom="0" percent="0" rank="0" text="" dxfId="60">
      <formula>IF($BM17=$W64,1,0)</formula>
    </cfRule>
  </conditionalFormatting>
  <conditionalFormatting sqref="BM17">
    <cfRule type="expression" priority="64" aboveAverage="0" equalAverage="0" bottom="0" percent="0" rank="0" text="" dxfId="61">
      <formula>IF($BM17=$W64,1,0)</formula>
    </cfRule>
    <cfRule type="expression" priority="65" aboveAverage="0" equalAverage="0" bottom="0" percent="0" rank="0" text="" dxfId="62">
      <formula>IF($BM16=$W64,1,0)</formula>
    </cfRule>
  </conditionalFormatting>
  <conditionalFormatting sqref="BM32">
    <cfRule type="expression" priority="66" aboveAverage="0" equalAverage="0" bottom="0" percent="0" rank="0" text="" dxfId="63">
      <formula>IF($BM32=$W65,1,0)</formula>
    </cfRule>
    <cfRule type="expression" priority="67" aboveAverage="0" equalAverage="0" bottom="0" percent="0" rank="0" text="" dxfId="64">
      <formula>IF($BM33=$W65,1,0)</formula>
    </cfRule>
  </conditionalFormatting>
  <conditionalFormatting sqref="BM33">
    <cfRule type="expression" priority="68" aboveAverage="0" equalAverage="0" bottom="0" percent="0" rank="0" text="" dxfId="65">
      <formula>IF($BM33=$W65,1,0)</formula>
    </cfRule>
    <cfRule type="expression" priority="69" aboveAverage="0" equalAverage="0" bottom="0" percent="0" rank="0" text="" dxfId="66">
      <formula>IF($BM32=$W65,1,0)</formula>
    </cfRule>
  </conditionalFormatting>
  <conditionalFormatting sqref="BS23">
    <cfRule type="expression" priority="70" aboveAverage="0" equalAverage="0" bottom="0" percent="0" rank="0" text="" dxfId="67">
      <formula>IF($BS23=$W73,1,0)</formula>
    </cfRule>
    <cfRule type="expression" priority="71" aboveAverage="0" equalAverage="0" bottom="0" percent="0" rank="0" text="" dxfId="68">
      <formula>IF($BS24=$W73,1,0)</formula>
    </cfRule>
  </conditionalFormatting>
  <conditionalFormatting sqref="BS24">
    <cfRule type="expression" priority="72" aboveAverage="0" equalAverage="0" bottom="0" percent="0" rank="0" text="" dxfId="69">
      <formula>IF($BS24=$W73,1,0)</formula>
    </cfRule>
    <cfRule type="expression" priority="73" aboveAverage="0" equalAverage="0" bottom="0" percent="0" rank="0" text="" dxfId="70">
      <formula>IF($BS23=$W73,1,0)</formula>
    </cfRule>
  </conditionalFormatting>
  <dataValidations count="2">
    <dataValidation allowBlank="true" operator="between" showDropDown="false" showErrorMessage="true" showInputMessage="true" sqref="F10:G45 BB10:BB11 BH12:BH13 BB14:BB15 BN16:BN17 BB18:BB19 BH20:BH21 BB22:BB23 BT23:BT24 BB26:BB27 BH28:BH29 BB30:BB31 BN32:BN33 BB34:BB35 BH36:BH37 BB38:BB39" type="list">
      <formula1>"0,1,2,3,4,5,6,7,8,9"</formula1>
      <formula2>0</formula2>
    </dataValidation>
    <dataValidation allowBlank="true" operator="between" showDropDown="false" showErrorMessage="true" showInputMessage="true" sqref="BC10:BC11 BI12:BI13 BC14:BC15 BO16:BO17 BC18:BC19 BI20:BI21 BC22:BC23 BU23:BU24 BC26:BC27 BI28:BI29 BC30:BC31 BO32:BO33 BC34:BC35 BI36:BI37 BC38:BC39" type="list">
      <formula1>"0,1,2,3,4,5,6,7,8,9,10,11,12,13,14,15,16,17,18,19,20"</formula1>
      <formula2>0</formula2>
    </dataValidation>
  </dataValidations>
  <hyperlinks>
    <hyperlink ref="C5" r:id="rId1" display="Home Page: www.excely.com"/>
    <hyperlink ref="B52" r:id="rId2" display="Betfair Betting Exchange"/>
    <hyperlink ref="G52" r:id="rId3" display="FIFA World Cup 2014 Tickets"/>
    <hyperlink ref="M52" r:id="rId4" display="Cut MP3 Files"/>
    <hyperlink ref="P52" r:id="rId5" display="WAV to MP3 Converter"/>
  </hyperlinks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&amp;Cwww.excely.com (c) 2016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LibreOffice/5.1.3.2$Linux_X86_64 LibreOffice_project/10m0$Build-2</Application>
  <Company>Excely.com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2008-09-24T12:14:29Z</dcterms:created>
  <dc:creator>Denys Kozyr</dc:creator>
  <dc:description/>
  <dc:language>hu-HU</dc:language>
  <cp:lastModifiedBy/>
  <cp:lastPrinted>2016-04-03T12:59:36Z</cp:lastPrinted>
  <dcterms:modified xsi:type="dcterms:W3CDTF">2016-07-04T09:25:55Z</dcterms:modified>
  <cp:revision>6</cp:revision>
  <dc:subject/>
  <dc:title>Eufa Euro 2016 Schedule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